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2435" windowHeight="9525" activeTab="2"/>
  </bookViews>
  <sheets>
    <sheet name="Batting" sheetId="1" r:id="rId1"/>
    <sheet name="Pitching" sheetId="2" r:id="rId2"/>
    <sheet name="Batting Against" sheetId="3" r:id="rId3"/>
    <sheet name="Fielding" sheetId="4" r:id="rId4"/>
  </sheets>
  <definedNames>
    <definedName name="_xlnm._FilterDatabase" localSheetId="3" hidden="1">Fielding!$A$2:$A$34</definedName>
    <definedName name="DOB">Batting!$B$2</definedName>
    <definedName name="GAMES">Batting!$F$27</definedName>
    <definedName name="years">Batting!$A$27</definedName>
  </definedNames>
  <calcPr calcId="145621"/>
</workbook>
</file>

<file path=xl/calcChain.xml><?xml version="1.0" encoding="utf-8"?>
<calcChain xmlns="http://schemas.openxmlformats.org/spreadsheetml/2006/main">
  <c r="A12" i="3" l="1"/>
  <c r="A12" i="2"/>
  <c r="Y39" i="4"/>
  <c r="Y38" i="4"/>
  <c r="Y37" i="4"/>
  <c r="Y36" i="4"/>
  <c r="Y35" i="4"/>
  <c r="Y27" i="4"/>
  <c r="V27" i="4" s="1"/>
  <c r="X27" i="4"/>
  <c r="W27" i="4"/>
  <c r="T27" i="4"/>
  <c r="U27" i="4" s="1"/>
  <c r="B27" i="4"/>
  <c r="Y33" i="4"/>
  <c r="V33" i="4" s="1"/>
  <c r="X33" i="4"/>
  <c r="W33" i="4"/>
  <c r="T33" i="4"/>
  <c r="U33" i="4" s="1"/>
  <c r="B33" i="4"/>
  <c r="Y32" i="4"/>
  <c r="V32" i="4" s="1"/>
  <c r="X32" i="4"/>
  <c r="W32" i="4"/>
  <c r="T32" i="4"/>
  <c r="U32" i="4" s="1"/>
  <c r="B32" i="4"/>
  <c r="Y31" i="4"/>
  <c r="V31" i="4" s="1"/>
  <c r="X31" i="4"/>
  <c r="W31" i="4"/>
  <c r="T31" i="4"/>
  <c r="U31" i="4" s="1"/>
  <c r="B31" i="4"/>
  <c r="Y30" i="4"/>
  <c r="V30" i="4" s="1"/>
  <c r="X30" i="4"/>
  <c r="W30" i="4"/>
  <c r="T30" i="4"/>
  <c r="U30" i="4" s="1"/>
  <c r="B30" i="4"/>
  <c r="Y29" i="4"/>
  <c r="V29" i="4" s="1"/>
  <c r="X29" i="4"/>
  <c r="W29" i="4"/>
  <c r="T29" i="4"/>
  <c r="U29" i="4" s="1"/>
  <c r="B29" i="4"/>
  <c r="Y28" i="4"/>
  <c r="V28" i="4" s="1"/>
  <c r="X28" i="4"/>
  <c r="W28" i="4"/>
  <c r="T28" i="4"/>
  <c r="U28" i="4" s="1"/>
  <c r="B28" i="4"/>
  <c r="Y26" i="4"/>
  <c r="V26" i="4" s="1"/>
  <c r="X26" i="4"/>
  <c r="W26" i="4"/>
  <c r="T26" i="4"/>
  <c r="U26" i="4" s="1"/>
  <c r="B26" i="4"/>
  <c r="Y25" i="4"/>
  <c r="V25" i="4" s="1"/>
  <c r="X25" i="4"/>
  <c r="W25" i="4"/>
  <c r="T25" i="4"/>
  <c r="U25" i="4" s="1"/>
  <c r="B25" i="4"/>
  <c r="Y24" i="4"/>
  <c r="V24" i="4" s="1"/>
  <c r="X24" i="4"/>
  <c r="W24" i="4"/>
  <c r="T24" i="4"/>
  <c r="U24" i="4" s="1"/>
  <c r="B24" i="4"/>
  <c r="Y23" i="4"/>
  <c r="V23" i="4" s="1"/>
  <c r="X23" i="4"/>
  <c r="W23" i="4"/>
  <c r="T23" i="4"/>
  <c r="U23" i="4" s="1"/>
  <c r="B23" i="4"/>
  <c r="Y22" i="4"/>
  <c r="V22" i="4" s="1"/>
  <c r="X22" i="4"/>
  <c r="W22" i="4"/>
  <c r="T22" i="4"/>
  <c r="U22" i="4" s="1"/>
  <c r="B22" i="4"/>
  <c r="Y21" i="4"/>
  <c r="V21" i="4" s="1"/>
  <c r="X21" i="4"/>
  <c r="W21" i="4"/>
  <c r="T21" i="4"/>
  <c r="U21" i="4" s="1"/>
  <c r="B21" i="4"/>
  <c r="S40" i="4"/>
  <c r="R40" i="4"/>
  <c r="Q40" i="4"/>
  <c r="P40" i="4"/>
  <c r="S35" i="4"/>
  <c r="R35" i="4"/>
  <c r="Q35" i="4"/>
  <c r="P35" i="4"/>
  <c r="S39" i="4"/>
  <c r="R39" i="4"/>
  <c r="Q39" i="4"/>
  <c r="P39" i="4"/>
  <c r="S38" i="4"/>
  <c r="R38" i="4"/>
  <c r="Q38" i="4"/>
  <c r="P38" i="4"/>
  <c r="S37" i="4"/>
  <c r="R37" i="4"/>
  <c r="Q37" i="4"/>
  <c r="P37" i="4"/>
  <c r="S36" i="4"/>
  <c r="R36" i="4"/>
  <c r="Q36" i="4"/>
  <c r="P36" i="4"/>
  <c r="O35" i="4"/>
  <c r="O39" i="4"/>
  <c r="O38" i="4"/>
  <c r="O37" i="4"/>
  <c r="O36" i="4"/>
  <c r="N35" i="4"/>
  <c r="M35" i="4"/>
  <c r="L35" i="4"/>
  <c r="K35" i="4"/>
  <c r="I35" i="4"/>
  <c r="H35" i="4"/>
  <c r="N39" i="4"/>
  <c r="M39" i="4"/>
  <c r="L39" i="4"/>
  <c r="K39" i="4"/>
  <c r="I39" i="4"/>
  <c r="H39" i="4"/>
  <c r="N38" i="4"/>
  <c r="M38" i="4"/>
  <c r="L38" i="4"/>
  <c r="K38" i="4"/>
  <c r="I38" i="4"/>
  <c r="H38" i="4"/>
  <c r="N37" i="4"/>
  <c r="M37" i="4"/>
  <c r="L37" i="4"/>
  <c r="K37" i="4"/>
  <c r="I37" i="4"/>
  <c r="H37" i="4"/>
  <c r="N36" i="4"/>
  <c r="M36" i="4"/>
  <c r="L36" i="4"/>
  <c r="K36" i="4"/>
  <c r="I36" i="4"/>
  <c r="H36" i="4"/>
  <c r="G35" i="4"/>
  <c r="G39" i="4"/>
  <c r="G38" i="4"/>
  <c r="G37" i="4"/>
  <c r="G36" i="4"/>
  <c r="H40" i="4"/>
  <c r="I40" i="4"/>
  <c r="K40" i="4"/>
  <c r="L40" i="4"/>
  <c r="M40" i="4"/>
  <c r="N40" i="4"/>
  <c r="O40" i="4"/>
  <c r="A35" i="4"/>
  <c r="A39" i="4"/>
  <c r="A38" i="4"/>
  <c r="A37" i="4"/>
  <c r="A36" i="4"/>
  <c r="G40" i="4"/>
  <c r="A40" i="4"/>
  <c r="Y20" i="4"/>
  <c r="Y19" i="4"/>
  <c r="Y18" i="4"/>
  <c r="Y17" i="4"/>
  <c r="Y16" i="4"/>
  <c r="Y15" i="4"/>
  <c r="Y14" i="4"/>
  <c r="Y13" i="4"/>
  <c r="Y12" i="4"/>
  <c r="W20" i="4"/>
  <c r="W19" i="4"/>
  <c r="W18" i="4"/>
  <c r="W17" i="4"/>
  <c r="W16" i="4"/>
  <c r="W15" i="4"/>
  <c r="W14" i="4"/>
  <c r="W13" i="4"/>
  <c r="W12" i="4"/>
  <c r="V20" i="4"/>
  <c r="V19" i="4"/>
  <c r="V18" i="4"/>
  <c r="V17" i="4"/>
  <c r="V16" i="4"/>
  <c r="V15" i="4"/>
  <c r="V14" i="4"/>
  <c r="V13" i="4"/>
  <c r="V12" i="4"/>
  <c r="T20" i="4"/>
  <c r="U20" i="4" s="1"/>
  <c r="T19" i="4"/>
  <c r="U19" i="4" s="1"/>
  <c r="T18" i="4"/>
  <c r="U18" i="4" s="1"/>
  <c r="T17" i="4"/>
  <c r="U17" i="4" s="1"/>
  <c r="T16" i="4"/>
  <c r="U16" i="4" s="1"/>
  <c r="T15" i="4"/>
  <c r="U15" i="4" s="1"/>
  <c r="T14" i="4"/>
  <c r="U14" i="4" s="1"/>
  <c r="T13" i="4"/>
  <c r="U13" i="4" s="1"/>
  <c r="T12" i="4"/>
  <c r="U12" i="4" s="1"/>
  <c r="T11" i="4"/>
  <c r="U11" i="4" s="1"/>
  <c r="W11" i="4"/>
  <c r="Y11" i="4"/>
  <c r="V11" i="4" s="1"/>
  <c r="X34" i="4"/>
  <c r="X20" i="4"/>
  <c r="X19" i="4"/>
  <c r="X18" i="4"/>
  <c r="X17" i="4"/>
  <c r="X16" i="4"/>
  <c r="X15" i="4"/>
  <c r="X14" i="4"/>
  <c r="X13" i="4"/>
  <c r="X12" i="4"/>
  <c r="X11" i="4"/>
  <c r="X10" i="4"/>
  <c r="X9" i="4"/>
  <c r="X8" i="4"/>
  <c r="X7" i="4"/>
  <c r="X6" i="4"/>
  <c r="X4" i="4"/>
  <c r="X3" i="4"/>
  <c r="X5" i="4"/>
  <c r="T5" i="4"/>
  <c r="U5" i="4" s="1"/>
  <c r="B34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3" i="4"/>
  <c r="B7" i="1"/>
  <c r="A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X18" i="1"/>
  <c r="AC25" i="1"/>
  <c r="Z25" i="1" s="1"/>
  <c r="AB25" i="1"/>
  <c r="Y25" i="1"/>
  <c r="X25" i="1"/>
  <c r="AC24" i="1"/>
  <c r="Z24" i="1" s="1"/>
  <c r="AB24" i="1"/>
  <c r="Y24" i="1"/>
  <c r="X24" i="1"/>
  <c r="AC23" i="1"/>
  <c r="Z23" i="1" s="1"/>
  <c r="AB23" i="1"/>
  <c r="Y23" i="1"/>
  <c r="X23" i="1"/>
  <c r="AC22" i="1"/>
  <c r="Z22" i="1" s="1"/>
  <c r="AB22" i="1"/>
  <c r="Y22" i="1"/>
  <c r="X22" i="1"/>
  <c r="AC21" i="1"/>
  <c r="Z21" i="1" s="1"/>
  <c r="AB21" i="1"/>
  <c r="Y21" i="1"/>
  <c r="X21" i="1"/>
  <c r="AC20" i="1"/>
  <c r="AB20" i="1"/>
  <c r="Z20" i="1"/>
  <c r="Y20" i="1"/>
  <c r="X20" i="1"/>
  <c r="AC19" i="1"/>
  <c r="Z19" i="1" s="1"/>
  <c r="AB19" i="1"/>
  <c r="Y19" i="1"/>
  <c r="X19" i="1"/>
  <c r="AC18" i="1"/>
  <c r="Z18" i="1" s="1"/>
  <c r="AB18" i="1"/>
  <c r="Y18" i="1"/>
  <c r="AC17" i="1"/>
  <c r="Z17" i="1" s="1"/>
  <c r="AB17" i="1"/>
  <c r="Y17" i="1"/>
  <c r="X17" i="1"/>
  <c r="AC16" i="1"/>
  <c r="Z16" i="1" s="1"/>
  <c r="AB16" i="1"/>
  <c r="Y16" i="1"/>
  <c r="X16" i="1"/>
  <c r="AC15" i="1"/>
  <c r="Z15" i="1" s="1"/>
  <c r="AB15" i="1"/>
  <c r="Y15" i="1"/>
  <c r="X15" i="1"/>
  <c r="T36" i="4" l="1"/>
  <c r="U36" i="4" s="1"/>
  <c r="W39" i="4"/>
  <c r="T38" i="4"/>
  <c r="U38" i="4" s="1"/>
  <c r="X38" i="4"/>
  <c r="W38" i="4"/>
  <c r="W36" i="4"/>
  <c r="T39" i="4"/>
  <c r="U39" i="4" s="1"/>
  <c r="AA25" i="1"/>
  <c r="AA24" i="1"/>
  <c r="AA23" i="1"/>
  <c r="AA22" i="1"/>
  <c r="AA21" i="1"/>
  <c r="AA20" i="1"/>
  <c r="AA19" i="1"/>
  <c r="AA18" i="1"/>
  <c r="AA17" i="1"/>
  <c r="AA16" i="1"/>
  <c r="AA15" i="1"/>
  <c r="Y34" i="4"/>
  <c r="V34" i="4" s="1"/>
  <c r="W34" i="4"/>
  <c r="T34" i="4"/>
  <c r="U34" i="4" s="1"/>
  <c r="Y10" i="4"/>
  <c r="W10" i="4"/>
  <c r="T10" i="4"/>
  <c r="U10" i="4" s="1"/>
  <c r="Y9" i="4"/>
  <c r="W9" i="4"/>
  <c r="T9" i="4"/>
  <c r="U9" i="4" s="1"/>
  <c r="Y8" i="4"/>
  <c r="V8" i="4" s="1"/>
  <c r="W8" i="4"/>
  <c r="T8" i="4"/>
  <c r="U8" i="4" s="1"/>
  <c r="Y7" i="4"/>
  <c r="W7" i="4"/>
  <c r="T7" i="4"/>
  <c r="U7" i="4" s="1"/>
  <c r="Y6" i="4"/>
  <c r="W6" i="4"/>
  <c r="T6" i="4"/>
  <c r="U6" i="4" s="1"/>
  <c r="Y5" i="4"/>
  <c r="W5" i="4"/>
  <c r="Y4" i="4"/>
  <c r="V4" i="4" s="1"/>
  <c r="W4" i="4"/>
  <c r="T4" i="4"/>
  <c r="U4" i="4" s="1"/>
  <c r="W3" i="4"/>
  <c r="Y3" i="4"/>
  <c r="T3" i="4"/>
  <c r="U3" i="4" s="1"/>
  <c r="Y12" i="3"/>
  <c r="V12" i="3" s="1"/>
  <c r="V11" i="3"/>
  <c r="V10" i="3"/>
  <c r="V9" i="3"/>
  <c r="V8" i="3"/>
  <c r="V7" i="3"/>
  <c r="V6" i="3"/>
  <c r="V5" i="3"/>
  <c r="V4" i="3"/>
  <c r="Y11" i="3"/>
  <c r="Y10" i="3"/>
  <c r="Y9" i="3"/>
  <c r="Y8" i="3"/>
  <c r="Y7" i="3"/>
  <c r="Y6" i="3"/>
  <c r="Y5" i="3"/>
  <c r="Y4" i="3"/>
  <c r="V3" i="3"/>
  <c r="Y3" i="3"/>
  <c r="AC26" i="1"/>
  <c r="Z26" i="1" s="1"/>
  <c r="AC14" i="1"/>
  <c r="Z14" i="1" s="1"/>
  <c r="AC13" i="1"/>
  <c r="Z13" i="1" s="1"/>
  <c r="AC12" i="1"/>
  <c r="Z12" i="1" s="1"/>
  <c r="AC11" i="1"/>
  <c r="Z11" i="1" s="1"/>
  <c r="AC10" i="1"/>
  <c r="Z10" i="1" s="1"/>
  <c r="AC9" i="1"/>
  <c r="Z9" i="1" s="1"/>
  <c r="AC8" i="1"/>
  <c r="Z8" i="1" s="1"/>
  <c r="AC7" i="1"/>
  <c r="Z7" i="1" s="1"/>
  <c r="V3" i="4" l="1"/>
  <c r="V5" i="4"/>
  <c r="Y40" i="4"/>
  <c r="J40" i="4" s="1"/>
  <c r="V6" i="4"/>
  <c r="V10" i="4"/>
  <c r="X40" i="4"/>
  <c r="V9" i="4"/>
  <c r="X35" i="4"/>
  <c r="V7" i="4"/>
  <c r="J35" i="4"/>
  <c r="T40" i="4"/>
  <c r="U40" i="4" s="1"/>
  <c r="W40" i="4"/>
  <c r="T35" i="4"/>
  <c r="U35" i="4" s="1"/>
  <c r="W35" i="4"/>
  <c r="S12" i="3"/>
  <c r="AB26" i="1"/>
  <c r="AB14" i="1"/>
  <c r="AB13" i="1"/>
  <c r="AB12" i="1"/>
  <c r="AB11" i="1"/>
  <c r="AB10" i="1"/>
  <c r="AB9" i="1"/>
  <c r="AB8" i="1"/>
  <c r="AB7" i="1"/>
  <c r="X11" i="3"/>
  <c r="X10" i="3"/>
  <c r="X9" i="3"/>
  <c r="X8" i="3"/>
  <c r="X7" i="3"/>
  <c r="X6" i="3"/>
  <c r="X5" i="3"/>
  <c r="X4" i="3"/>
  <c r="X3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U11" i="3"/>
  <c r="T11" i="3"/>
  <c r="U10" i="3"/>
  <c r="T10" i="3"/>
  <c r="U9" i="3"/>
  <c r="T9" i="3"/>
  <c r="U8" i="3"/>
  <c r="T8" i="3"/>
  <c r="U7" i="3"/>
  <c r="T7" i="3"/>
  <c r="U6" i="3"/>
  <c r="T6" i="3"/>
  <c r="U5" i="3"/>
  <c r="T5" i="3"/>
  <c r="U4" i="3"/>
  <c r="T4" i="3"/>
  <c r="U3" i="3"/>
  <c r="T3" i="3"/>
  <c r="AD10" i="2"/>
  <c r="AA10" i="2" s="1"/>
  <c r="AC10" i="2"/>
  <c r="AB10" i="2"/>
  <c r="Z10" i="2"/>
  <c r="Y10" i="2"/>
  <c r="X10" i="2"/>
  <c r="W10" i="2"/>
  <c r="V10" i="2"/>
  <c r="AD9" i="2"/>
  <c r="AA9" i="2" s="1"/>
  <c r="AC9" i="2"/>
  <c r="AB9" i="2"/>
  <c r="Z9" i="2"/>
  <c r="X9" i="2"/>
  <c r="W9" i="2"/>
  <c r="V9" i="2"/>
  <c r="AD8" i="2"/>
  <c r="AC8" i="2"/>
  <c r="AB8" i="2"/>
  <c r="AA8" i="2"/>
  <c r="Z8" i="2"/>
  <c r="Y8" i="2"/>
  <c r="X8" i="2"/>
  <c r="W8" i="2"/>
  <c r="V8" i="2"/>
  <c r="AD7" i="2"/>
  <c r="AC7" i="2"/>
  <c r="AB7" i="2"/>
  <c r="AA7" i="2"/>
  <c r="Z7" i="2"/>
  <c r="Y7" i="2"/>
  <c r="X7" i="2"/>
  <c r="W7" i="2"/>
  <c r="V7" i="2"/>
  <c r="AD6" i="2"/>
  <c r="AA6" i="2" s="1"/>
  <c r="AC6" i="2"/>
  <c r="AB6" i="2"/>
  <c r="Z6" i="2"/>
  <c r="X6" i="2"/>
  <c r="W6" i="2"/>
  <c r="V6" i="2"/>
  <c r="AD5" i="2"/>
  <c r="AA5" i="2" s="1"/>
  <c r="AC5" i="2"/>
  <c r="AB5" i="2"/>
  <c r="Z5" i="2"/>
  <c r="X5" i="2"/>
  <c r="W5" i="2"/>
  <c r="V5" i="2"/>
  <c r="AB4" i="2"/>
  <c r="AB3" i="2"/>
  <c r="AA4" i="2"/>
  <c r="AA3" i="2"/>
  <c r="Z4" i="2"/>
  <c r="Z3" i="2"/>
  <c r="Y4" i="2"/>
  <c r="Y3" i="2"/>
  <c r="AD4" i="2"/>
  <c r="AC4" i="2"/>
  <c r="X4" i="2"/>
  <c r="W4" i="2"/>
  <c r="V4" i="2"/>
  <c r="U12" i="2"/>
  <c r="T12" i="2"/>
  <c r="S12" i="2"/>
  <c r="R12" i="2"/>
  <c r="Q12" i="2"/>
  <c r="P12" i="2"/>
  <c r="O12" i="2"/>
  <c r="AC12" i="2" s="1"/>
  <c r="N12" i="2"/>
  <c r="M12" i="2"/>
  <c r="L12" i="2"/>
  <c r="K12" i="2"/>
  <c r="AD11" i="2"/>
  <c r="AD12" i="2" s="1"/>
  <c r="J12" i="2" s="1"/>
  <c r="AD3" i="2"/>
  <c r="I12" i="2"/>
  <c r="H12" i="2"/>
  <c r="G12" i="2"/>
  <c r="F12" i="2"/>
  <c r="E12" i="2"/>
  <c r="D12" i="2"/>
  <c r="C12" i="2"/>
  <c r="B12" i="2"/>
  <c r="AC11" i="2"/>
  <c r="X11" i="2"/>
  <c r="W11" i="2"/>
  <c r="V11" i="2"/>
  <c r="AC3" i="2"/>
  <c r="X3" i="2"/>
  <c r="W3" i="2"/>
  <c r="V3" i="2"/>
  <c r="Y14" i="1"/>
  <c r="AA14" i="1" s="1"/>
  <c r="X14" i="1"/>
  <c r="Y13" i="1"/>
  <c r="AA13" i="1" s="1"/>
  <c r="X13" i="1"/>
  <c r="Y12" i="1"/>
  <c r="X12" i="1"/>
  <c r="Y11" i="1"/>
  <c r="AA11" i="1" s="1"/>
  <c r="X11" i="1"/>
  <c r="Y10" i="1"/>
  <c r="X10" i="1"/>
  <c r="Y9" i="1"/>
  <c r="AA9" i="1" s="1"/>
  <c r="X9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Y26" i="1"/>
  <c r="Y8" i="1"/>
  <c r="Y7" i="1"/>
  <c r="X26" i="1"/>
  <c r="X8" i="1"/>
  <c r="X7" i="1"/>
  <c r="V37" i="4" l="1"/>
  <c r="J37" i="4"/>
  <c r="J36" i="4"/>
  <c r="V36" i="4"/>
  <c r="J39" i="4"/>
  <c r="V39" i="4"/>
  <c r="J38" i="4"/>
  <c r="V38" i="4"/>
  <c r="T37" i="4"/>
  <c r="U37" i="4" s="1"/>
  <c r="W37" i="4"/>
  <c r="X39" i="4"/>
  <c r="X36" i="4"/>
  <c r="X37" i="4"/>
  <c r="V40" i="4"/>
  <c r="AB27" i="1"/>
  <c r="AC27" i="1"/>
  <c r="Z27" i="1" s="1"/>
  <c r="V35" i="4"/>
  <c r="W11" i="3"/>
  <c r="W9" i="3"/>
  <c r="W7" i="3"/>
  <c r="W5" i="3"/>
  <c r="X12" i="3"/>
  <c r="W4" i="3"/>
  <c r="W6" i="3"/>
  <c r="W8" i="3"/>
  <c r="W10" i="3"/>
  <c r="U12" i="3"/>
  <c r="W3" i="3"/>
  <c r="T12" i="3"/>
  <c r="Y9" i="2"/>
  <c r="Y6" i="2"/>
  <c r="Z11" i="2"/>
  <c r="AB11" i="2"/>
  <c r="Y11" i="2"/>
  <c r="AA11" i="2"/>
  <c r="AB12" i="2"/>
  <c r="Y5" i="2"/>
  <c r="Y12" i="2"/>
  <c r="Z12" i="2"/>
  <c r="AA12" i="2"/>
  <c r="V12" i="2"/>
  <c r="X12" i="2"/>
  <c r="W12" i="2"/>
  <c r="AA10" i="1"/>
  <c r="AA12" i="1"/>
  <c r="Y27" i="1"/>
  <c r="AA26" i="1"/>
  <c r="X27" i="1"/>
  <c r="AA8" i="1"/>
  <c r="AA7" i="1"/>
  <c r="AA27" i="1" l="1"/>
  <c r="W12" i="3"/>
</calcChain>
</file>

<file path=xl/sharedStrings.xml><?xml version="1.0" encoding="utf-8"?>
<sst xmlns="http://schemas.openxmlformats.org/spreadsheetml/2006/main" count="565" uniqueCount="81">
  <si>
    <t>Year</t>
  </si>
  <si>
    <t>G</t>
  </si>
  <si>
    <t>AB</t>
  </si>
  <si>
    <t>R</t>
  </si>
  <si>
    <t>H</t>
  </si>
  <si>
    <t>2B</t>
  </si>
  <si>
    <t>3B</t>
  </si>
  <si>
    <t>HR</t>
  </si>
  <si>
    <t>OBP</t>
  </si>
  <si>
    <t>SLG</t>
  </si>
  <si>
    <t>OPS</t>
  </si>
  <si>
    <t>SO</t>
  </si>
  <si>
    <t>BB</t>
  </si>
  <si>
    <t>IBB</t>
  </si>
  <si>
    <t>HBP</t>
  </si>
  <si>
    <t>SF</t>
  </si>
  <si>
    <t>DP</t>
  </si>
  <si>
    <t>SB</t>
  </si>
  <si>
    <t>CS</t>
  </si>
  <si>
    <t>RBI</t>
  </si>
  <si>
    <t>BA</t>
  </si>
  <si>
    <t>SH</t>
  </si>
  <si>
    <t>PA</t>
  </si>
  <si>
    <t>Nolan Ryan</t>
  </si>
  <si>
    <t>W</t>
  </si>
  <si>
    <t>L</t>
  </si>
  <si>
    <t>WPct</t>
  </si>
  <si>
    <t>GS</t>
  </si>
  <si>
    <t>GF</t>
  </si>
  <si>
    <t>CG</t>
  </si>
  <si>
    <t>SHO</t>
  </si>
  <si>
    <t>SV</t>
  </si>
  <si>
    <t>IP</t>
  </si>
  <si>
    <t>ER</t>
  </si>
  <si>
    <t>BK</t>
  </si>
  <si>
    <t>WP</t>
  </si>
  <si>
    <t>BF</t>
  </si>
  <si>
    <t>ERA</t>
  </si>
  <si>
    <t>WHIP</t>
  </si>
  <si>
    <t>H/9</t>
  </si>
  <si>
    <t>HR/9</t>
  </si>
  <si>
    <t>BB/9</t>
  </si>
  <si>
    <t>SO/9</t>
  </si>
  <si>
    <t>SO/BB</t>
  </si>
  <si>
    <t>IPdec</t>
  </si>
  <si>
    <t>Total</t>
  </si>
  <si>
    <t>Ryan</t>
  </si>
  <si>
    <t>BAbip</t>
  </si>
  <si>
    <t>ROE</t>
  </si>
  <si>
    <t>TB</t>
  </si>
  <si>
    <t>Pos</t>
  </si>
  <si>
    <t>Inn</t>
  </si>
  <si>
    <t>PO</t>
  </si>
  <si>
    <t>A</t>
  </si>
  <si>
    <t>E</t>
  </si>
  <si>
    <t>Ch</t>
  </si>
  <si>
    <t>RF/9</t>
  </si>
  <si>
    <t>RF/G</t>
  </si>
  <si>
    <t>PkO</t>
  </si>
  <si>
    <t>CS%</t>
  </si>
  <si>
    <t>Fld%</t>
  </si>
  <si>
    <t>InnDec</t>
  </si>
  <si>
    <t>All</t>
  </si>
  <si>
    <t>PB</t>
  </si>
  <si>
    <t>-</t>
  </si>
  <si>
    <t>Age</t>
  </si>
  <si>
    <t>DOB</t>
  </si>
  <si>
    <t>Name</t>
  </si>
  <si>
    <t>Craig Alan Biggio</t>
  </si>
  <si>
    <t>Years</t>
  </si>
  <si>
    <t>Pitching</t>
  </si>
  <si>
    <t>C</t>
  </si>
  <si>
    <t>CF</t>
  </si>
  <si>
    <t>LF</t>
  </si>
  <si>
    <t>RF</t>
  </si>
  <si>
    <t>Team</t>
  </si>
  <si>
    <t>Lg</t>
  </si>
  <si>
    <t>Lvl</t>
  </si>
  <si>
    <t>HOU</t>
  </si>
  <si>
    <t>NL</t>
  </si>
  <si>
    <t>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</si>
</sst>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.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165" fontId="3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2" fontId="3" fillId="2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2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0" fontId="0" fillId="0" borderId="0" xfId="0" applyAlignment="1"/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workbookViewId="0">
      <selection activeCell="A27" sqref="A27"/>
    </sheetView>
  </sheetViews>
  <sheetFormatPr defaultRowHeight="15" x14ac:dyDescent="0.25"/>
  <cols>
    <col min="1" max="1" width="6.28515625" style="1" customWidth="1"/>
    <col min="2" max="5" width="5.42578125" style="1" customWidth="1"/>
    <col min="6" max="6" width="5" style="1" bestFit="1" customWidth="1"/>
    <col min="7" max="8" width="6" style="1" bestFit="1" customWidth="1"/>
    <col min="9" max="10" width="5" style="1" bestFit="1" customWidth="1"/>
    <col min="11" max="11" width="4" style="1" bestFit="1" customWidth="1"/>
    <col min="12" max="12" width="3.140625" style="1" bestFit="1" customWidth="1"/>
    <col min="13" max="13" width="4" style="1" bestFit="1" customWidth="1"/>
    <col min="14" max="14" width="5" style="1" bestFit="1" customWidth="1"/>
    <col min="15" max="16" width="4" style="1" bestFit="1" customWidth="1"/>
    <col min="17" max="18" width="5" style="1" bestFit="1" customWidth="1"/>
    <col min="19" max="19" width="4" style="1" bestFit="1" customWidth="1"/>
    <col min="20" max="20" width="4.5703125" style="1" bestFit="1" customWidth="1"/>
    <col min="21" max="21" width="4" style="1" bestFit="1" customWidth="1"/>
    <col min="22" max="22" width="3" style="1" bestFit="1" customWidth="1"/>
    <col min="23" max="23" width="3.85546875" style="1" bestFit="1" customWidth="1"/>
    <col min="24" max="24" width="4.5703125" style="2" bestFit="1" customWidth="1"/>
    <col min="25" max="25" width="4.7109375" style="2" bestFit="1" customWidth="1"/>
    <col min="26" max="27" width="4.5703125" style="2" bestFit="1" customWidth="1"/>
    <col min="28" max="28" width="6.28515625" style="2" bestFit="1" customWidth="1"/>
    <col min="29" max="29" width="5" style="1" bestFit="1" customWidth="1"/>
    <col min="30" max="16384" width="9.140625" style="1"/>
  </cols>
  <sheetData>
    <row r="1" spans="1:29" x14ac:dyDescent="0.25">
      <c r="A1" s="18" t="s">
        <v>67</v>
      </c>
      <c r="B1" s="26" t="s">
        <v>68</v>
      </c>
      <c r="C1" s="26"/>
      <c r="D1" s="26"/>
      <c r="E1" s="26"/>
      <c r="F1" s="26"/>
      <c r="G1" s="26"/>
      <c r="H1" s="26"/>
      <c r="I1" s="25"/>
    </row>
    <row r="2" spans="1:29" x14ac:dyDescent="0.25">
      <c r="A2" s="18" t="s">
        <v>66</v>
      </c>
      <c r="B2" s="32">
        <v>24090</v>
      </c>
      <c r="C2" s="32"/>
      <c r="D2" s="32"/>
      <c r="E2" s="32"/>
      <c r="F2" s="32"/>
      <c r="G2" s="32"/>
      <c r="H2" s="32"/>
      <c r="I2" s="25"/>
    </row>
    <row r="3" spans="1:29" x14ac:dyDescent="0.25">
      <c r="A3" s="18"/>
      <c r="B3" s="29"/>
      <c r="C3" s="29"/>
      <c r="D3" s="29"/>
      <c r="E3" s="29"/>
      <c r="F3" s="29"/>
      <c r="G3" s="29"/>
      <c r="H3" s="29"/>
      <c r="I3" s="25"/>
    </row>
    <row r="4" spans="1:29" x14ac:dyDescent="0.25">
      <c r="A4" s="33" t="s">
        <v>70</v>
      </c>
      <c r="B4" s="33"/>
      <c r="C4" s="33"/>
      <c r="D4" s="33"/>
      <c r="E4" s="33"/>
      <c r="F4" s="33"/>
      <c r="G4" s="33"/>
      <c r="H4" s="29"/>
      <c r="I4" s="25"/>
    </row>
    <row r="5" spans="1:29" x14ac:dyDescent="0.25">
      <c r="A5" s="29"/>
      <c r="B5" s="29"/>
      <c r="C5" s="29"/>
      <c r="D5" s="29"/>
      <c r="E5" s="29"/>
      <c r="G5" s="25"/>
      <c r="H5" s="25"/>
      <c r="I5" s="25"/>
    </row>
    <row r="6" spans="1:29" s="18" customFormat="1" x14ac:dyDescent="0.25">
      <c r="A6" s="18" t="s">
        <v>0</v>
      </c>
      <c r="B6" s="18" t="s">
        <v>65</v>
      </c>
      <c r="C6" s="18" t="s">
        <v>75</v>
      </c>
      <c r="D6" s="18" t="s">
        <v>76</v>
      </c>
      <c r="E6" s="18" t="s">
        <v>77</v>
      </c>
      <c r="F6" s="18" t="s">
        <v>1</v>
      </c>
      <c r="G6" s="18" t="s">
        <v>22</v>
      </c>
      <c r="H6" s="18" t="s">
        <v>2</v>
      </c>
      <c r="I6" s="18" t="s">
        <v>3</v>
      </c>
      <c r="J6" s="18" t="s">
        <v>4</v>
      </c>
      <c r="K6" s="18" t="s">
        <v>5</v>
      </c>
      <c r="L6" s="18" t="s">
        <v>6</v>
      </c>
      <c r="M6" s="18" t="s">
        <v>7</v>
      </c>
      <c r="N6" s="18" t="s">
        <v>19</v>
      </c>
      <c r="O6" s="18" t="s">
        <v>17</v>
      </c>
      <c r="P6" s="18" t="s">
        <v>18</v>
      </c>
      <c r="Q6" s="18" t="s">
        <v>12</v>
      </c>
      <c r="R6" s="18" t="s">
        <v>11</v>
      </c>
      <c r="S6" s="18" t="s">
        <v>16</v>
      </c>
      <c r="T6" s="18" t="s">
        <v>14</v>
      </c>
      <c r="U6" s="18" t="s">
        <v>21</v>
      </c>
      <c r="V6" s="18" t="s">
        <v>15</v>
      </c>
      <c r="W6" s="18" t="s">
        <v>13</v>
      </c>
      <c r="X6" s="4" t="s">
        <v>20</v>
      </c>
      <c r="Y6" s="4" t="s">
        <v>8</v>
      </c>
      <c r="Z6" s="4" t="s">
        <v>9</v>
      </c>
      <c r="AA6" s="4" t="s">
        <v>10</v>
      </c>
      <c r="AB6" s="4" t="s">
        <v>47</v>
      </c>
      <c r="AC6" s="18" t="s">
        <v>49</v>
      </c>
    </row>
    <row r="7" spans="1:29" x14ac:dyDescent="0.25">
      <c r="A7" s="1">
        <v>1988</v>
      </c>
      <c r="B7" s="30">
        <f>INT(YEARFRAC([0]!DOB,DATE(A7,6,30)))</f>
        <v>22</v>
      </c>
      <c r="C7" s="30" t="s">
        <v>78</v>
      </c>
      <c r="D7" s="30" t="s">
        <v>79</v>
      </c>
      <c r="E7" s="30" t="s">
        <v>80</v>
      </c>
      <c r="F7" s="1">
        <v>50</v>
      </c>
      <c r="G7" s="1">
        <v>131</v>
      </c>
      <c r="H7" s="1">
        <v>123</v>
      </c>
      <c r="I7" s="1">
        <v>14</v>
      </c>
      <c r="J7" s="1">
        <v>26</v>
      </c>
      <c r="K7" s="1">
        <v>6</v>
      </c>
      <c r="L7" s="1">
        <v>1</v>
      </c>
      <c r="M7" s="1">
        <v>3</v>
      </c>
      <c r="N7" s="1">
        <v>5</v>
      </c>
      <c r="O7" s="1">
        <v>6</v>
      </c>
      <c r="P7" s="1">
        <v>1</v>
      </c>
      <c r="Q7" s="1">
        <v>7</v>
      </c>
      <c r="R7" s="1">
        <v>29</v>
      </c>
      <c r="S7" s="1">
        <v>1</v>
      </c>
      <c r="T7" s="1">
        <v>0</v>
      </c>
      <c r="U7" s="1">
        <v>1</v>
      </c>
      <c r="V7" s="1">
        <v>0</v>
      </c>
      <c r="W7" s="1">
        <v>2</v>
      </c>
      <c r="X7" s="3">
        <f t="shared" ref="X7:X27" si="0">IF(H7=0,".---",J7/H7)</f>
        <v>0.21138211382113822</v>
      </c>
      <c r="Y7" s="3">
        <f>IF((H7+Q7+T7+V7)=0,".---",(J7+Q7+T7)/(H7+Q7+T7+V7))</f>
        <v>0.25384615384615383</v>
      </c>
      <c r="Z7" s="3">
        <f>IF(H7=0,".---",AC7/H7)</f>
        <v>0.34959349593495936</v>
      </c>
      <c r="AA7" s="3">
        <f t="shared" ref="AA7:AA27" si="1">Y7+Z7</f>
        <v>0.6034396497811132</v>
      </c>
      <c r="AB7" s="3">
        <f>IF((H7-R7-M7+V7)=0,".---",(J7-M7)/(H7-R7-M7+V7))</f>
        <v>0.25274725274725274</v>
      </c>
      <c r="AC7" s="19">
        <f>(J7-K7-L7-M7)+2*K7+3*L7+4*M7</f>
        <v>43</v>
      </c>
    </row>
    <row r="8" spans="1:29" x14ac:dyDescent="0.25">
      <c r="A8" s="1">
        <v>1989</v>
      </c>
      <c r="B8" s="30">
        <f>INT(YEARFRAC(DOB,DATE(A8,6,30)))</f>
        <v>23</v>
      </c>
      <c r="C8" s="30" t="s">
        <v>78</v>
      </c>
      <c r="D8" s="30" t="s">
        <v>79</v>
      </c>
      <c r="E8" s="30" t="s">
        <v>80</v>
      </c>
      <c r="F8" s="1">
        <v>134</v>
      </c>
      <c r="G8" s="1">
        <v>509</v>
      </c>
      <c r="H8" s="1">
        <v>443</v>
      </c>
      <c r="I8" s="1">
        <v>64</v>
      </c>
      <c r="J8" s="1">
        <v>114</v>
      </c>
      <c r="K8" s="1">
        <v>21</v>
      </c>
      <c r="L8" s="1">
        <v>2</v>
      </c>
      <c r="M8" s="1">
        <v>13</v>
      </c>
      <c r="N8" s="1">
        <v>60</v>
      </c>
      <c r="O8" s="1">
        <v>21</v>
      </c>
      <c r="P8" s="1">
        <v>3</v>
      </c>
      <c r="Q8" s="1">
        <v>49</v>
      </c>
      <c r="R8" s="1">
        <v>64</v>
      </c>
      <c r="S8" s="1">
        <v>7</v>
      </c>
      <c r="T8" s="1">
        <v>6</v>
      </c>
      <c r="U8" s="1">
        <v>6</v>
      </c>
      <c r="V8" s="1">
        <v>5</v>
      </c>
      <c r="W8" s="1">
        <v>8</v>
      </c>
      <c r="X8" s="3">
        <f t="shared" si="0"/>
        <v>0.25733634311512416</v>
      </c>
      <c r="Y8" s="3">
        <f t="shared" ref="Y8:Y27" si="2">IF((H8+Q8+T8+V8)=0,".---",(J8+Q8+T8)/(H8+Q8+T8+V8))</f>
        <v>0.3359840954274354</v>
      </c>
      <c r="Z8" s="3">
        <f t="shared" ref="Z8:Z27" si="3">IF(H8=0,".---",AC8/H8)</f>
        <v>0.40180586907449212</v>
      </c>
      <c r="AA8" s="3">
        <f t="shared" si="1"/>
        <v>0.73778996450192746</v>
      </c>
      <c r="AB8" s="3">
        <f t="shared" ref="AB8:AB27" si="4">IF((H8-R8-M8+V8)=0,".---",(J8-M8)/(H8-R8-M8+V8))</f>
        <v>0.27223719676549868</v>
      </c>
      <c r="AC8" s="19">
        <f t="shared" ref="AC8:AC27" si="5">(J8-K8-L8-M8)+2*K8+3*L8+4*M8</f>
        <v>178</v>
      </c>
    </row>
    <row r="9" spans="1:29" x14ac:dyDescent="0.25">
      <c r="A9" s="1">
        <v>1990</v>
      </c>
      <c r="B9" s="30">
        <f>INT(YEARFRAC(DOB,DATE(A9,6,30)))</f>
        <v>24</v>
      </c>
      <c r="C9" s="30" t="s">
        <v>78</v>
      </c>
      <c r="D9" s="30" t="s">
        <v>79</v>
      </c>
      <c r="E9" s="30" t="s">
        <v>80</v>
      </c>
      <c r="F9" s="1">
        <v>150</v>
      </c>
      <c r="G9" s="1">
        <v>621</v>
      </c>
      <c r="H9" s="1">
        <v>555</v>
      </c>
      <c r="I9" s="1">
        <v>53</v>
      </c>
      <c r="J9" s="1">
        <v>153</v>
      </c>
      <c r="K9" s="1">
        <v>24</v>
      </c>
      <c r="L9" s="1">
        <v>2</v>
      </c>
      <c r="M9" s="1">
        <v>4</v>
      </c>
      <c r="N9" s="1">
        <v>42</v>
      </c>
      <c r="O9" s="1">
        <v>25</v>
      </c>
      <c r="P9" s="1">
        <v>11</v>
      </c>
      <c r="Q9" s="1">
        <v>53</v>
      </c>
      <c r="R9" s="1">
        <v>79</v>
      </c>
      <c r="S9" s="1">
        <v>11</v>
      </c>
      <c r="T9" s="1">
        <v>3</v>
      </c>
      <c r="U9" s="1">
        <v>9</v>
      </c>
      <c r="V9" s="1">
        <v>1</v>
      </c>
      <c r="W9" s="1">
        <v>1</v>
      </c>
      <c r="X9" s="3">
        <f t="shared" si="0"/>
        <v>0.27567567567567569</v>
      </c>
      <c r="Y9" s="3">
        <f t="shared" ref="Y9:Y14" si="6">IF((H9+Q9+T9+V9)=0,".---",(J9+Q9+T9)/(H9+Q9+T9+V9))</f>
        <v>0.34150326797385622</v>
      </c>
      <c r="Z9" s="3">
        <f t="shared" si="3"/>
        <v>0.34774774774774775</v>
      </c>
      <c r="AA9" s="3">
        <f t="shared" si="1"/>
        <v>0.68925101572160397</v>
      </c>
      <c r="AB9" s="3">
        <f t="shared" si="4"/>
        <v>0.31501057082452433</v>
      </c>
      <c r="AC9" s="19">
        <f t="shared" si="5"/>
        <v>193</v>
      </c>
    </row>
    <row r="10" spans="1:29" x14ac:dyDescent="0.25">
      <c r="A10" s="1">
        <v>1991</v>
      </c>
      <c r="B10" s="30">
        <f>INT(YEARFRAC(DOB,DATE(A10,6,30)))</f>
        <v>25</v>
      </c>
      <c r="C10" s="30" t="s">
        <v>78</v>
      </c>
      <c r="D10" s="30" t="s">
        <v>79</v>
      </c>
      <c r="E10" s="30" t="s">
        <v>80</v>
      </c>
      <c r="F10" s="1">
        <v>149</v>
      </c>
      <c r="G10" s="1">
        <v>609</v>
      </c>
      <c r="H10" s="1">
        <v>546</v>
      </c>
      <c r="I10" s="1">
        <v>79</v>
      </c>
      <c r="J10" s="1">
        <v>161</v>
      </c>
      <c r="K10" s="1">
        <v>23</v>
      </c>
      <c r="L10" s="1">
        <v>4</v>
      </c>
      <c r="M10" s="1">
        <v>4</v>
      </c>
      <c r="N10" s="1">
        <v>46</v>
      </c>
      <c r="O10" s="1">
        <v>19</v>
      </c>
      <c r="P10" s="1">
        <v>6</v>
      </c>
      <c r="Q10" s="1">
        <v>53</v>
      </c>
      <c r="R10" s="1">
        <v>71</v>
      </c>
      <c r="S10" s="1">
        <v>2</v>
      </c>
      <c r="T10" s="1">
        <v>2</v>
      </c>
      <c r="U10" s="1">
        <v>5</v>
      </c>
      <c r="V10" s="1">
        <v>3</v>
      </c>
      <c r="W10" s="1">
        <v>3</v>
      </c>
      <c r="X10" s="3">
        <f t="shared" si="0"/>
        <v>0.29487179487179488</v>
      </c>
      <c r="Y10" s="3">
        <f t="shared" si="6"/>
        <v>0.35761589403973509</v>
      </c>
      <c r="Z10" s="3">
        <f t="shared" si="3"/>
        <v>0.37362637362637363</v>
      </c>
      <c r="AA10" s="3">
        <f t="shared" si="1"/>
        <v>0.73124226766610878</v>
      </c>
      <c r="AB10" s="3">
        <f t="shared" si="4"/>
        <v>0.33122362869198313</v>
      </c>
      <c r="AC10" s="19">
        <f t="shared" si="5"/>
        <v>204</v>
      </c>
    </row>
    <row r="11" spans="1:29" x14ac:dyDescent="0.25">
      <c r="A11" s="1">
        <v>1992</v>
      </c>
      <c r="B11" s="30">
        <f>INT(YEARFRAC(DOB,DATE(A11,6,30)))</f>
        <v>26</v>
      </c>
      <c r="C11" s="30" t="s">
        <v>78</v>
      </c>
      <c r="D11" s="30" t="s">
        <v>79</v>
      </c>
      <c r="E11" s="30" t="s">
        <v>80</v>
      </c>
      <c r="F11" s="28">
        <v>162</v>
      </c>
      <c r="G11" s="27">
        <v>721</v>
      </c>
      <c r="H11" s="1">
        <v>613</v>
      </c>
      <c r="I11" s="1">
        <v>96</v>
      </c>
      <c r="J11" s="1">
        <v>170</v>
      </c>
      <c r="K11" s="1">
        <v>32</v>
      </c>
      <c r="L11" s="1">
        <v>3</v>
      </c>
      <c r="M11" s="1">
        <v>6</v>
      </c>
      <c r="N11" s="1">
        <v>39</v>
      </c>
      <c r="O11" s="1">
        <v>38</v>
      </c>
      <c r="P11" s="1">
        <v>15</v>
      </c>
      <c r="Q11" s="1">
        <v>94</v>
      </c>
      <c r="R11" s="1">
        <v>95</v>
      </c>
      <c r="S11" s="1">
        <v>5</v>
      </c>
      <c r="T11" s="1">
        <v>7</v>
      </c>
      <c r="U11" s="1">
        <v>5</v>
      </c>
      <c r="V11" s="1">
        <v>2</v>
      </c>
      <c r="W11" s="1">
        <v>9</v>
      </c>
      <c r="X11" s="3">
        <f t="shared" si="0"/>
        <v>0.27732463295269166</v>
      </c>
      <c r="Y11" s="3">
        <f t="shared" si="6"/>
        <v>0.37849162011173182</v>
      </c>
      <c r="Z11" s="3">
        <f t="shared" si="3"/>
        <v>0.36867862969004894</v>
      </c>
      <c r="AA11" s="3">
        <f t="shared" si="1"/>
        <v>0.74717024980178071</v>
      </c>
      <c r="AB11" s="3">
        <f t="shared" si="4"/>
        <v>0.31906614785992216</v>
      </c>
      <c r="AC11" s="19">
        <f t="shared" si="5"/>
        <v>226</v>
      </c>
    </row>
    <row r="12" spans="1:29" x14ac:dyDescent="0.25">
      <c r="A12" s="1">
        <v>1993</v>
      </c>
      <c r="B12" s="30">
        <f>INT(YEARFRAC(DOB,DATE(A12,6,30)))</f>
        <v>27</v>
      </c>
      <c r="C12" s="30" t="s">
        <v>78</v>
      </c>
      <c r="D12" s="30" t="s">
        <v>79</v>
      </c>
      <c r="E12" s="30" t="s">
        <v>80</v>
      </c>
      <c r="F12" s="1">
        <v>155</v>
      </c>
      <c r="G12" s="1">
        <v>707</v>
      </c>
      <c r="H12" s="1">
        <v>610</v>
      </c>
      <c r="I12" s="1">
        <v>98</v>
      </c>
      <c r="J12" s="1">
        <v>175</v>
      </c>
      <c r="K12" s="1">
        <v>41</v>
      </c>
      <c r="L12" s="1">
        <v>5</v>
      </c>
      <c r="M12" s="1">
        <v>21</v>
      </c>
      <c r="N12" s="1">
        <v>64</v>
      </c>
      <c r="O12" s="1">
        <v>15</v>
      </c>
      <c r="P12" s="1">
        <v>17</v>
      </c>
      <c r="Q12" s="1">
        <v>77</v>
      </c>
      <c r="R12" s="1">
        <v>93</v>
      </c>
      <c r="S12" s="1">
        <v>10</v>
      </c>
      <c r="T12" s="1">
        <v>10</v>
      </c>
      <c r="U12" s="1">
        <v>4</v>
      </c>
      <c r="V12" s="1">
        <v>5</v>
      </c>
      <c r="W12" s="1">
        <v>7</v>
      </c>
      <c r="X12" s="3">
        <f t="shared" si="0"/>
        <v>0.28688524590163933</v>
      </c>
      <c r="Y12" s="3">
        <f t="shared" si="6"/>
        <v>0.37321937321937321</v>
      </c>
      <c r="Z12" s="3">
        <f t="shared" si="3"/>
        <v>0.47377049180327868</v>
      </c>
      <c r="AA12" s="3">
        <f t="shared" si="1"/>
        <v>0.84698986502265194</v>
      </c>
      <c r="AB12" s="3">
        <f t="shared" si="4"/>
        <v>0.30738522954091818</v>
      </c>
      <c r="AC12" s="19">
        <f t="shared" si="5"/>
        <v>289</v>
      </c>
    </row>
    <row r="13" spans="1:29" x14ac:dyDescent="0.25">
      <c r="A13" s="1">
        <v>1994</v>
      </c>
      <c r="B13" s="30">
        <f>INT(YEARFRAC(DOB,DATE(A13,6,30)))</f>
        <v>28</v>
      </c>
      <c r="C13" s="30" t="s">
        <v>78</v>
      </c>
      <c r="D13" s="30" t="s">
        <v>79</v>
      </c>
      <c r="E13" s="30" t="s">
        <v>80</v>
      </c>
      <c r="F13" s="1">
        <v>114</v>
      </c>
      <c r="G13" s="1">
        <v>511</v>
      </c>
      <c r="H13" s="1">
        <v>437</v>
      </c>
      <c r="I13" s="1">
        <v>88</v>
      </c>
      <c r="J13" s="1">
        <v>139</v>
      </c>
      <c r="K13" s="27">
        <v>44</v>
      </c>
      <c r="L13" s="1">
        <v>5</v>
      </c>
      <c r="M13" s="1">
        <v>6</v>
      </c>
      <c r="N13" s="1">
        <v>56</v>
      </c>
      <c r="O13" s="27">
        <v>39</v>
      </c>
      <c r="P13" s="1">
        <v>4</v>
      </c>
      <c r="Q13" s="1">
        <v>62</v>
      </c>
      <c r="R13" s="1">
        <v>58</v>
      </c>
      <c r="S13" s="1">
        <v>5</v>
      </c>
      <c r="T13" s="1">
        <v>8</v>
      </c>
      <c r="U13" s="1">
        <v>2</v>
      </c>
      <c r="V13" s="1">
        <v>2</v>
      </c>
      <c r="W13" s="1">
        <v>1</v>
      </c>
      <c r="X13" s="3">
        <f t="shared" si="0"/>
        <v>0.3180778032036613</v>
      </c>
      <c r="Y13" s="3">
        <f t="shared" si="6"/>
        <v>0.41060903732809428</v>
      </c>
      <c r="Z13" s="3">
        <f t="shared" si="3"/>
        <v>0.48283752860411899</v>
      </c>
      <c r="AA13" s="3">
        <f t="shared" si="1"/>
        <v>0.89344656593221328</v>
      </c>
      <c r="AB13" s="3">
        <f t="shared" si="4"/>
        <v>0.35466666666666669</v>
      </c>
      <c r="AC13" s="19">
        <f t="shared" si="5"/>
        <v>211</v>
      </c>
    </row>
    <row r="14" spans="1:29" x14ac:dyDescent="0.25">
      <c r="A14" s="1">
        <v>1995</v>
      </c>
      <c r="B14" s="30">
        <f>INT(YEARFRAC(DOB,DATE(A14,6,30)))</f>
        <v>29</v>
      </c>
      <c r="C14" s="30" t="s">
        <v>78</v>
      </c>
      <c r="D14" s="30" t="s">
        <v>79</v>
      </c>
      <c r="E14" s="30" t="s">
        <v>80</v>
      </c>
      <c r="F14" s="1">
        <v>141</v>
      </c>
      <c r="G14" s="27">
        <v>673</v>
      </c>
      <c r="H14" s="1">
        <v>553</v>
      </c>
      <c r="I14" s="28">
        <v>123</v>
      </c>
      <c r="J14" s="1">
        <v>167</v>
      </c>
      <c r="K14" s="1">
        <v>30</v>
      </c>
      <c r="L14" s="1">
        <v>2</v>
      </c>
      <c r="M14" s="1">
        <v>22</v>
      </c>
      <c r="N14" s="1">
        <v>77</v>
      </c>
      <c r="O14" s="1">
        <v>33</v>
      </c>
      <c r="P14" s="1">
        <v>8</v>
      </c>
      <c r="Q14" s="1">
        <v>80</v>
      </c>
      <c r="R14" s="1">
        <v>85</v>
      </c>
      <c r="S14" s="1">
        <v>6</v>
      </c>
      <c r="T14" s="28">
        <v>22</v>
      </c>
      <c r="U14" s="1">
        <v>11</v>
      </c>
      <c r="V14" s="1">
        <v>7</v>
      </c>
      <c r="W14" s="1">
        <v>1</v>
      </c>
      <c r="X14" s="3">
        <f t="shared" si="0"/>
        <v>0.30198915009041594</v>
      </c>
      <c r="Y14" s="3">
        <f t="shared" si="6"/>
        <v>0.40634441087613293</v>
      </c>
      <c r="Z14" s="3">
        <f t="shared" si="3"/>
        <v>0.48282097649186256</v>
      </c>
      <c r="AA14" s="3">
        <f t="shared" si="1"/>
        <v>0.88916538736799544</v>
      </c>
      <c r="AB14" s="3">
        <f t="shared" si="4"/>
        <v>0.32008830022075058</v>
      </c>
      <c r="AC14" s="19">
        <f t="shared" si="5"/>
        <v>267</v>
      </c>
    </row>
    <row r="15" spans="1:29" x14ac:dyDescent="0.25">
      <c r="A15" s="1">
        <v>1996</v>
      </c>
      <c r="B15" s="30">
        <f>INT(YEARFRAC(DOB,DATE(A15,6,30)))</f>
        <v>30</v>
      </c>
      <c r="C15" s="30" t="s">
        <v>78</v>
      </c>
      <c r="D15" s="30" t="s">
        <v>79</v>
      </c>
      <c r="E15" s="30" t="s">
        <v>80</v>
      </c>
      <c r="F15" s="27">
        <v>162</v>
      </c>
      <c r="G15" s="1">
        <v>723</v>
      </c>
      <c r="H15" s="1">
        <v>605</v>
      </c>
      <c r="I15" s="1">
        <v>113</v>
      </c>
      <c r="J15" s="1">
        <v>174</v>
      </c>
      <c r="K15" s="1">
        <v>24</v>
      </c>
      <c r="L15" s="1">
        <v>4</v>
      </c>
      <c r="M15" s="1">
        <v>15</v>
      </c>
      <c r="N15" s="1">
        <v>75</v>
      </c>
      <c r="O15" s="1">
        <v>25</v>
      </c>
      <c r="P15" s="1">
        <v>7</v>
      </c>
      <c r="Q15" s="1">
        <v>75</v>
      </c>
      <c r="R15" s="1">
        <v>72</v>
      </c>
      <c r="S15" s="1">
        <v>10</v>
      </c>
      <c r="T15" s="28">
        <v>27</v>
      </c>
      <c r="U15" s="1">
        <v>8</v>
      </c>
      <c r="V15" s="1">
        <v>8</v>
      </c>
      <c r="W15" s="1">
        <v>0</v>
      </c>
      <c r="X15" s="3">
        <f t="shared" ref="X15:X25" si="7">IF(H15=0,".---",J15/H15)</f>
        <v>0.28760330578512394</v>
      </c>
      <c r="Y15" s="3">
        <f t="shared" ref="Y15:Y25" si="8">IF((H15+Q15+T15+V15)=0,".---",(J15+Q15+T15)/(H15+Q15+T15+V15))</f>
        <v>0.38601398601398601</v>
      </c>
      <c r="Z15" s="3">
        <f t="shared" ref="Z15:Z25" si="9">IF(H15=0,".---",AC15/H15)</f>
        <v>0.41487603305785126</v>
      </c>
      <c r="AA15" s="3">
        <f t="shared" ref="AA15:AA25" si="10">Y15+Z15</f>
        <v>0.80089001907183732</v>
      </c>
      <c r="AB15" s="3">
        <f t="shared" ref="AB15:AB25" si="11">IF((H15-R15-M15+V15)=0,".---",(J15-M15)/(H15-R15-M15+V15))</f>
        <v>0.30228136882129275</v>
      </c>
      <c r="AC15" s="19">
        <f t="shared" ref="AC15:AC25" si="12">(J15-K15-L15-M15)+2*K15+3*L15+4*M15</f>
        <v>251</v>
      </c>
    </row>
    <row r="16" spans="1:29" x14ac:dyDescent="0.25">
      <c r="A16" s="1">
        <v>1997</v>
      </c>
      <c r="B16" s="30">
        <f>INT(YEARFRAC(DOB,DATE(A16,6,30)))</f>
        <v>31</v>
      </c>
      <c r="C16" s="30" t="s">
        <v>78</v>
      </c>
      <c r="D16" s="30" t="s">
        <v>79</v>
      </c>
      <c r="E16" s="30" t="s">
        <v>80</v>
      </c>
      <c r="F16" s="28">
        <v>162</v>
      </c>
      <c r="G16" s="27">
        <v>744</v>
      </c>
      <c r="H16" s="1">
        <v>619</v>
      </c>
      <c r="I16" s="28">
        <v>146</v>
      </c>
      <c r="J16" s="1">
        <v>191</v>
      </c>
      <c r="K16" s="1">
        <v>37</v>
      </c>
      <c r="L16" s="1">
        <v>8</v>
      </c>
      <c r="M16" s="1">
        <v>22</v>
      </c>
      <c r="N16" s="1">
        <v>81</v>
      </c>
      <c r="O16" s="1">
        <v>47</v>
      </c>
      <c r="P16" s="1">
        <v>10</v>
      </c>
      <c r="Q16" s="1">
        <v>84</v>
      </c>
      <c r="R16" s="1">
        <v>107</v>
      </c>
      <c r="S16" s="1">
        <v>0</v>
      </c>
      <c r="T16" s="28">
        <v>34</v>
      </c>
      <c r="U16" s="1">
        <v>0</v>
      </c>
      <c r="V16" s="1">
        <v>7</v>
      </c>
      <c r="W16" s="1">
        <v>6</v>
      </c>
      <c r="X16" s="3">
        <f t="shared" si="7"/>
        <v>0.30856219709208399</v>
      </c>
      <c r="Y16" s="3">
        <f t="shared" si="8"/>
        <v>0.41532258064516131</v>
      </c>
      <c r="Z16" s="3">
        <f t="shared" si="9"/>
        <v>0.50080775444264947</v>
      </c>
      <c r="AA16" s="3">
        <f t="shared" si="10"/>
        <v>0.91613033508781072</v>
      </c>
      <c r="AB16" s="3">
        <f t="shared" si="11"/>
        <v>0.34004024144869216</v>
      </c>
      <c r="AC16" s="19">
        <f t="shared" si="12"/>
        <v>310</v>
      </c>
    </row>
    <row r="17" spans="1:29" x14ac:dyDescent="0.25">
      <c r="A17" s="1">
        <v>1998</v>
      </c>
      <c r="B17" s="30">
        <f>INT(YEARFRAC(DOB,DATE(A17,6,30)))</f>
        <v>32</v>
      </c>
      <c r="C17" s="30" t="s">
        <v>78</v>
      </c>
      <c r="D17" s="30" t="s">
        <v>79</v>
      </c>
      <c r="E17" s="30" t="s">
        <v>80</v>
      </c>
      <c r="F17" s="1">
        <v>160</v>
      </c>
      <c r="G17" s="27">
        <v>738</v>
      </c>
      <c r="H17" s="1">
        <v>646</v>
      </c>
      <c r="I17" s="1">
        <v>123</v>
      </c>
      <c r="J17" s="1">
        <v>210</v>
      </c>
      <c r="K17" s="28">
        <v>51</v>
      </c>
      <c r="L17" s="1">
        <v>2</v>
      </c>
      <c r="M17" s="1">
        <v>20</v>
      </c>
      <c r="N17" s="1">
        <v>88</v>
      </c>
      <c r="O17" s="1">
        <v>50</v>
      </c>
      <c r="P17" s="1">
        <v>8</v>
      </c>
      <c r="Q17" s="1">
        <v>64</v>
      </c>
      <c r="R17" s="1">
        <v>113</v>
      </c>
      <c r="S17" s="1">
        <v>10</v>
      </c>
      <c r="T17" s="1">
        <v>23</v>
      </c>
      <c r="U17" s="1">
        <v>1</v>
      </c>
      <c r="V17" s="1">
        <v>4</v>
      </c>
      <c r="W17" s="1">
        <v>6</v>
      </c>
      <c r="X17" s="3">
        <f t="shared" si="7"/>
        <v>0.32507739938080493</v>
      </c>
      <c r="Y17" s="3">
        <f t="shared" si="8"/>
        <v>0.40298507462686567</v>
      </c>
      <c r="Z17" s="3">
        <f t="shared" si="9"/>
        <v>0.50309597523219818</v>
      </c>
      <c r="AA17" s="3">
        <f t="shared" si="10"/>
        <v>0.9060810498590639</v>
      </c>
      <c r="AB17" s="3">
        <f t="shared" si="11"/>
        <v>0.36750483558994196</v>
      </c>
      <c r="AC17" s="19">
        <f t="shared" si="12"/>
        <v>325</v>
      </c>
    </row>
    <row r="18" spans="1:29" x14ac:dyDescent="0.25">
      <c r="A18" s="1">
        <v>1999</v>
      </c>
      <c r="B18" s="30">
        <f>INT(YEARFRAC(DOB,DATE(A18,6,30)))</f>
        <v>33</v>
      </c>
      <c r="C18" s="30" t="s">
        <v>78</v>
      </c>
      <c r="D18" s="30" t="s">
        <v>79</v>
      </c>
      <c r="E18" s="30" t="s">
        <v>80</v>
      </c>
      <c r="F18" s="1">
        <v>160</v>
      </c>
      <c r="G18" s="28">
        <v>749</v>
      </c>
      <c r="H18" s="1">
        <v>639</v>
      </c>
      <c r="I18" s="1">
        <v>123</v>
      </c>
      <c r="J18" s="1">
        <v>188</v>
      </c>
      <c r="K18" s="28">
        <v>56</v>
      </c>
      <c r="L18" s="1">
        <v>0</v>
      </c>
      <c r="M18" s="1">
        <v>16</v>
      </c>
      <c r="N18" s="1">
        <v>73</v>
      </c>
      <c r="O18" s="1">
        <v>28</v>
      </c>
      <c r="P18" s="1">
        <v>14</v>
      </c>
      <c r="Q18" s="1">
        <v>88</v>
      </c>
      <c r="R18" s="1">
        <v>107</v>
      </c>
      <c r="S18" s="1">
        <v>5</v>
      </c>
      <c r="T18" s="1">
        <v>11</v>
      </c>
      <c r="U18" s="1">
        <v>5</v>
      </c>
      <c r="V18" s="1">
        <v>6</v>
      </c>
      <c r="W18" s="1">
        <v>9</v>
      </c>
      <c r="X18" s="3">
        <f>IF(H18=0,".---",J18/H18)</f>
        <v>0.29420970266040691</v>
      </c>
      <c r="Y18" s="3">
        <f t="shared" si="8"/>
        <v>0.385752688172043</v>
      </c>
      <c r="Z18" s="3">
        <f t="shared" si="9"/>
        <v>0.4569640062597809</v>
      </c>
      <c r="AA18" s="3">
        <f t="shared" si="10"/>
        <v>0.84271669443182384</v>
      </c>
      <c r="AB18" s="3">
        <f t="shared" si="11"/>
        <v>0.32950191570881227</v>
      </c>
      <c r="AC18" s="19">
        <f t="shared" si="12"/>
        <v>292</v>
      </c>
    </row>
    <row r="19" spans="1:29" x14ac:dyDescent="0.25">
      <c r="A19" s="1">
        <v>2000</v>
      </c>
      <c r="B19" s="30">
        <f>INT(YEARFRAC(DOB,DATE(A19,6,30)))</f>
        <v>34</v>
      </c>
      <c r="C19" s="30" t="s">
        <v>78</v>
      </c>
      <c r="D19" s="30" t="s">
        <v>79</v>
      </c>
      <c r="E19" s="30" t="s">
        <v>80</v>
      </c>
      <c r="F19" s="1">
        <v>101</v>
      </c>
      <c r="G19" s="1">
        <v>466</v>
      </c>
      <c r="H19" s="1">
        <v>377</v>
      </c>
      <c r="I19" s="1">
        <v>67</v>
      </c>
      <c r="J19" s="1">
        <v>101</v>
      </c>
      <c r="K19" s="1">
        <v>13</v>
      </c>
      <c r="L19" s="1">
        <v>5</v>
      </c>
      <c r="M19" s="1">
        <v>8</v>
      </c>
      <c r="N19" s="1">
        <v>35</v>
      </c>
      <c r="O19" s="1">
        <v>12</v>
      </c>
      <c r="P19" s="1">
        <v>2</v>
      </c>
      <c r="Q19" s="1">
        <v>61</v>
      </c>
      <c r="R19" s="1">
        <v>73</v>
      </c>
      <c r="S19" s="1">
        <v>10</v>
      </c>
      <c r="T19" s="1">
        <v>16</v>
      </c>
      <c r="U19" s="1">
        <v>7</v>
      </c>
      <c r="V19" s="1">
        <v>5</v>
      </c>
      <c r="W19" s="1">
        <v>3</v>
      </c>
      <c r="X19" s="3">
        <f t="shared" si="7"/>
        <v>0.26790450928381965</v>
      </c>
      <c r="Y19" s="3">
        <f t="shared" si="8"/>
        <v>0.3877995642701525</v>
      </c>
      <c r="Z19" s="3">
        <f t="shared" si="9"/>
        <v>0.39257294429708223</v>
      </c>
      <c r="AA19" s="3">
        <f t="shared" si="10"/>
        <v>0.78037250856723472</v>
      </c>
      <c r="AB19" s="3">
        <f t="shared" si="11"/>
        <v>0.30897009966777411</v>
      </c>
      <c r="AC19" s="19">
        <f t="shared" si="12"/>
        <v>148</v>
      </c>
    </row>
    <row r="20" spans="1:29" x14ac:dyDescent="0.25">
      <c r="A20" s="1">
        <v>2001</v>
      </c>
      <c r="B20" s="30">
        <f>INT(YEARFRAC(DOB,DATE(A20,6,30)))</f>
        <v>35</v>
      </c>
      <c r="C20" s="30" t="s">
        <v>78</v>
      </c>
      <c r="D20" s="30" t="s">
        <v>79</v>
      </c>
      <c r="E20" s="30" t="s">
        <v>80</v>
      </c>
      <c r="F20" s="1">
        <v>155</v>
      </c>
      <c r="G20" s="1">
        <v>717</v>
      </c>
      <c r="H20" s="1">
        <v>617</v>
      </c>
      <c r="I20" s="1">
        <v>118</v>
      </c>
      <c r="J20" s="1">
        <v>180</v>
      </c>
      <c r="K20" s="1">
        <v>35</v>
      </c>
      <c r="L20" s="1">
        <v>3</v>
      </c>
      <c r="M20" s="1">
        <v>20</v>
      </c>
      <c r="N20" s="1">
        <v>70</v>
      </c>
      <c r="O20" s="1">
        <v>7</v>
      </c>
      <c r="P20" s="1">
        <v>4</v>
      </c>
      <c r="Q20" s="1">
        <v>66</v>
      </c>
      <c r="R20" s="1">
        <v>100</v>
      </c>
      <c r="S20" s="1">
        <v>11</v>
      </c>
      <c r="T20" s="28">
        <v>28</v>
      </c>
      <c r="U20" s="1">
        <v>0</v>
      </c>
      <c r="V20" s="1">
        <v>6</v>
      </c>
      <c r="W20" s="1">
        <v>4</v>
      </c>
      <c r="X20" s="3">
        <f t="shared" si="7"/>
        <v>0.29173419773095621</v>
      </c>
      <c r="Y20" s="3">
        <f t="shared" si="8"/>
        <v>0.38214783821478382</v>
      </c>
      <c r="Z20" s="3">
        <f t="shared" si="9"/>
        <v>0.45542949756888168</v>
      </c>
      <c r="AA20" s="3">
        <f t="shared" si="10"/>
        <v>0.83757733578366556</v>
      </c>
      <c r="AB20" s="3">
        <f t="shared" si="11"/>
        <v>0.31809145129224653</v>
      </c>
      <c r="AC20" s="19">
        <f t="shared" si="12"/>
        <v>281</v>
      </c>
    </row>
    <row r="21" spans="1:29" x14ac:dyDescent="0.25">
      <c r="A21" s="1">
        <v>2002</v>
      </c>
      <c r="B21" s="30">
        <f>INT(YEARFRAC(DOB,DATE(A21,6,30)))</f>
        <v>36</v>
      </c>
      <c r="C21" s="30" t="s">
        <v>78</v>
      </c>
      <c r="D21" s="30" t="s">
        <v>79</v>
      </c>
      <c r="E21" s="30" t="s">
        <v>80</v>
      </c>
      <c r="F21" s="1">
        <v>145</v>
      </c>
      <c r="G21" s="1">
        <v>655</v>
      </c>
      <c r="H21" s="1">
        <v>577</v>
      </c>
      <c r="I21" s="1">
        <v>96</v>
      </c>
      <c r="J21" s="1">
        <v>146</v>
      </c>
      <c r="K21" s="1">
        <v>36</v>
      </c>
      <c r="L21" s="1">
        <v>3</v>
      </c>
      <c r="M21" s="1">
        <v>15</v>
      </c>
      <c r="N21" s="1">
        <v>58</v>
      </c>
      <c r="O21" s="1">
        <v>16</v>
      </c>
      <c r="P21" s="1">
        <v>2</v>
      </c>
      <c r="Q21" s="1">
        <v>50</v>
      </c>
      <c r="R21" s="1">
        <v>111</v>
      </c>
      <c r="S21" s="1">
        <v>15</v>
      </c>
      <c r="T21" s="1">
        <v>17</v>
      </c>
      <c r="U21" s="1">
        <v>9</v>
      </c>
      <c r="V21" s="1">
        <v>2</v>
      </c>
      <c r="W21" s="1">
        <v>2</v>
      </c>
      <c r="X21" s="3">
        <f t="shared" si="7"/>
        <v>0.2530329289428076</v>
      </c>
      <c r="Y21" s="3">
        <f t="shared" si="8"/>
        <v>0.32972136222910214</v>
      </c>
      <c r="Z21" s="3">
        <f t="shared" si="9"/>
        <v>0.40381282495667242</v>
      </c>
      <c r="AA21" s="3">
        <f t="shared" si="10"/>
        <v>0.73353418718577457</v>
      </c>
      <c r="AB21" s="3">
        <f t="shared" si="11"/>
        <v>0.28918322295805737</v>
      </c>
      <c r="AC21" s="19">
        <f t="shared" si="12"/>
        <v>233</v>
      </c>
    </row>
    <row r="22" spans="1:29" x14ac:dyDescent="0.25">
      <c r="A22" s="1">
        <v>2003</v>
      </c>
      <c r="B22" s="30">
        <f>INT(YEARFRAC(DOB,DATE(A22,6,30)))</f>
        <v>37</v>
      </c>
      <c r="C22" s="30" t="s">
        <v>78</v>
      </c>
      <c r="D22" s="30" t="s">
        <v>79</v>
      </c>
      <c r="E22" s="30" t="s">
        <v>80</v>
      </c>
      <c r="F22" s="1">
        <v>153</v>
      </c>
      <c r="G22" s="1">
        <v>717</v>
      </c>
      <c r="H22" s="1">
        <v>628</v>
      </c>
      <c r="I22" s="1">
        <v>102</v>
      </c>
      <c r="J22" s="1">
        <v>166</v>
      </c>
      <c r="K22" s="1">
        <v>44</v>
      </c>
      <c r="L22" s="1">
        <v>2</v>
      </c>
      <c r="M22" s="1">
        <v>15</v>
      </c>
      <c r="N22" s="1">
        <v>62</v>
      </c>
      <c r="O22" s="1">
        <v>8</v>
      </c>
      <c r="P22" s="1">
        <v>4</v>
      </c>
      <c r="Q22" s="1">
        <v>57</v>
      </c>
      <c r="R22" s="1">
        <v>116</v>
      </c>
      <c r="S22" s="1">
        <v>4</v>
      </c>
      <c r="T22" s="28">
        <v>27</v>
      </c>
      <c r="U22" s="1">
        <v>3</v>
      </c>
      <c r="V22" s="1">
        <v>2</v>
      </c>
      <c r="W22" s="1">
        <v>3</v>
      </c>
      <c r="X22" s="3">
        <f t="shared" si="7"/>
        <v>0.2643312101910828</v>
      </c>
      <c r="Y22" s="3">
        <f t="shared" si="8"/>
        <v>0.35014005602240894</v>
      </c>
      <c r="Z22" s="3">
        <f t="shared" si="9"/>
        <v>0.41242038216560511</v>
      </c>
      <c r="AA22" s="3">
        <f t="shared" si="10"/>
        <v>0.762560438188014</v>
      </c>
      <c r="AB22" s="3">
        <f t="shared" si="11"/>
        <v>0.30260521042084171</v>
      </c>
      <c r="AC22" s="19">
        <f t="shared" si="12"/>
        <v>259</v>
      </c>
    </row>
    <row r="23" spans="1:29" x14ac:dyDescent="0.25">
      <c r="A23" s="1">
        <v>2004</v>
      </c>
      <c r="B23" s="30">
        <f>INT(YEARFRAC(DOB,DATE(A23,6,30)))</f>
        <v>38</v>
      </c>
      <c r="C23" s="30" t="s">
        <v>78</v>
      </c>
      <c r="D23" s="30" t="s">
        <v>79</v>
      </c>
      <c r="E23" s="30" t="s">
        <v>80</v>
      </c>
      <c r="F23" s="1">
        <v>156</v>
      </c>
      <c r="G23" s="1">
        <v>700</v>
      </c>
      <c r="H23" s="1">
        <v>633</v>
      </c>
      <c r="I23" s="1">
        <v>100</v>
      </c>
      <c r="J23" s="1">
        <v>178</v>
      </c>
      <c r="K23" s="1">
        <v>47</v>
      </c>
      <c r="L23" s="1">
        <v>0</v>
      </c>
      <c r="M23" s="1">
        <v>24</v>
      </c>
      <c r="N23" s="1">
        <v>63</v>
      </c>
      <c r="O23" s="1">
        <v>7</v>
      </c>
      <c r="P23" s="1">
        <v>2</v>
      </c>
      <c r="Q23" s="1">
        <v>40</v>
      </c>
      <c r="R23" s="1">
        <v>94</v>
      </c>
      <c r="S23" s="1">
        <v>8</v>
      </c>
      <c r="T23" s="1">
        <v>15</v>
      </c>
      <c r="U23" s="1">
        <v>9</v>
      </c>
      <c r="V23" s="1">
        <v>3</v>
      </c>
      <c r="W23" s="1">
        <v>0</v>
      </c>
      <c r="X23" s="3">
        <f t="shared" si="7"/>
        <v>0.28120063191153238</v>
      </c>
      <c r="Y23" s="3">
        <f t="shared" si="8"/>
        <v>0.33719247467438496</v>
      </c>
      <c r="Z23" s="3">
        <f t="shared" si="9"/>
        <v>0.46919431279620855</v>
      </c>
      <c r="AA23" s="3">
        <f t="shared" si="10"/>
        <v>0.80638678747059345</v>
      </c>
      <c r="AB23" s="3">
        <f t="shared" si="11"/>
        <v>0.29729729729729731</v>
      </c>
      <c r="AC23" s="19">
        <f t="shared" si="12"/>
        <v>297</v>
      </c>
    </row>
    <row r="24" spans="1:29" x14ac:dyDescent="0.25">
      <c r="A24" s="1">
        <v>2005</v>
      </c>
      <c r="B24" s="30">
        <f>INT(YEARFRAC(DOB,DATE(A24,6,30)))</f>
        <v>39</v>
      </c>
      <c r="C24" s="30" t="s">
        <v>78</v>
      </c>
      <c r="D24" s="30" t="s">
        <v>79</v>
      </c>
      <c r="E24" s="30" t="s">
        <v>80</v>
      </c>
      <c r="F24" s="1">
        <v>155</v>
      </c>
      <c r="G24" s="1">
        <v>651</v>
      </c>
      <c r="H24" s="1">
        <v>590</v>
      </c>
      <c r="I24" s="1">
        <v>94</v>
      </c>
      <c r="J24" s="1">
        <v>156</v>
      </c>
      <c r="K24" s="1">
        <v>40</v>
      </c>
      <c r="L24" s="1">
        <v>1</v>
      </c>
      <c r="M24" s="1">
        <v>26</v>
      </c>
      <c r="N24" s="1">
        <v>69</v>
      </c>
      <c r="O24" s="1">
        <v>11</v>
      </c>
      <c r="P24" s="1">
        <v>1</v>
      </c>
      <c r="Q24" s="1">
        <v>37</v>
      </c>
      <c r="R24" s="1">
        <v>90</v>
      </c>
      <c r="S24" s="1">
        <v>10</v>
      </c>
      <c r="T24" s="1">
        <v>17</v>
      </c>
      <c r="U24" s="1">
        <v>4</v>
      </c>
      <c r="V24" s="1">
        <v>3</v>
      </c>
      <c r="W24" s="1">
        <v>2</v>
      </c>
      <c r="X24" s="3">
        <f t="shared" si="7"/>
        <v>0.26440677966101694</v>
      </c>
      <c r="Y24" s="3">
        <f t="shared" si="8"/>
        <v>0.32457496136012365</v>
      </c>
      <c r="Z24" s="3">
        <f t="shared" si="9"/>
        <v>0.46779661016949153</v>
      </c>
      <c r="AA24" s="3">
        <f t="shared" si="10"/>
        <v>0.79237157152961513</v>
      </c>
      <c r="AB24" s="3">
        <f t="shared" si="11"/>
        <v>0.27253668763102723</v>
      </c>
      <c r="AC24" s="19">
        <f t="shared" si="12"/>
        <v>276</v>
      </c>
    </row>
    <row r="25" spans="1:29" x14ac:dyDescent="0.25">
      <c r="A25" s="1">
        <v>2006</v>
      </c>
      <c r="B25" s="30">
        <f>INT(YEARFRAC(DOB,DATE(A25,6,30)))</f>
        <v>40</v>
      </c>
      <c r="C25" s="30" t="s">
        <v>78</v>
      </c>
      <c r="D25" s="30" t="s">
        <v>79</v>
      </c>
      <c r="E25" s="30" t="s">
        <v>80</v>
      </c>
      <c r="F25" s="1">
        <v>145</v>
      </c>
      <c r="G25" s="1">
        <v>607</v>
      </c>
      <c r="H25" s="1">
        <v>548</v>
      </c>
      <c r="I25" s="1">
        <v>79</v>
      </c>
      <c r="J25" s="1">
        <v>135</v>
      </c>
      <c r="K25" s="1">
        <v>33</v>
      </c>
      <c r="L25" s="1">
        <v>0</v>
      </c>
      <c r="M25" s="1">
        <v>21</v>
      </c>
      <c r="N25" s="1">
        <v>62</v>
      </c>
      <c r="O25" s="1">
        <v>3</v>
      </c>
      <c r="P25" s="1">
        <v>2</v>
      </c>
      <c r="Q25" s="1">
        <v>40</v>
      </c>
      <c r="R25" s="1">
        <v>84</v>
      </c>
      <c r="S25" s="1">
        <v>15</v>
      </c>
      <c r="T25" s="1">
        <v>9</v>
      </c>
      <c r="U25" s="1">
        <v>5</v>
      </c>
      <c r="V25" s="1">
        <v>5</v>
      </c>
      <c r="W25" s="1">
        <v>1</v>
      </c>
      <c r="X25" s="3">
        <f t="shared" si="7"/>
        <v>0.24635036496350365</v>
      </c>
      <c r="Y25" s="3">
        <f t="shared" si="8"/>
        <v>0.30564784053156147</v>
      </c>
      <c r="Z25" s="3">
        <f t="shared" si="9"/>
        <v>0.42153284671532848</v>
      </c>
      <c r="AA25" s="3">
        <f t="shared" si="10"/>
        <v>0.72718068724689</v>
      </c>
      <c r="AB25" s="3">
        <f t="shared" si="11"/>
        <v>0.2544642857142857</v>
      </c>
      <c r="AC25" s="19">
        <f t="shared" si="12"/>
        <v>231</v>
      </c>
    </row>
    <row r="26" spans="1:29" x14ac:dyDescent="0.25">
      <c r="A26" s="1">
        <v>2007</v>
      </c>
      <c r="B26" s="30">
        <f>INT(YEARFRAC(DOB,DATE(A26,6,30)))</f>
        <v>41</v>
      </c>
      <c r="C26" s="30" t="s">
        <v>78</v>
      </c>
      <c r="D26" s="30" t="s">
        <v>79</v>
      </c>
      <c r="E26" s="30" t="s">
        <v>80</v>
      </c>
      <c r="F26" s="1">
        <v>141</v>
      </c>
      <c r="G26" s="1">
        <v>555</v>
      </c>
      <c r="H26" s="1">
        <v>517</v>
      </c>
      <c r="I26" s="1">
        <v>68</v>
      </c>
      <c r="J26" s="1">
        <v>130</v>
      </c>
      <c r="K26" s="1">
        <v>31</v>
      </c>
      <c r="L26" s="1">
        <v>3</v>
      </c>
      <c r="M26" s="1">
        <v>10</v>
      </c>
      <c r="N26" s="1">
        <v>50</v>
      </c>
      <c r="O26" s="1">
        <v>4</v>
      </c>
      <c r="P26" s="1">
        <v>3</v>
      </c>
      <c r="Q26" s="1">
        <v>23</v>
      </c>
      <c r="R26" s="1">
        <v>112</v>
      </c>
      <c r="S26" s="1">
        <v>5</v>
      </c>
      <c r="T26" s="1">
        <v>3</v>
      </c>
      <c r="U26" s="1">
        <v>7</v>
      </c>
      <c r="V26" s="1">
        <v>5</v>
      </c>
      <c r="W26" s="1">
        <v>0</v>
      </c>
      <c r="X26" s="3">
        <f t="shared" si="0"/>
        <v>0.25145067698259188</v>
      </c>
      <c r="Y26" s="3">
        <f t="shared" si="2"/>
        <v>0.28467153284671531</v>
      </c>
      <c r="Z26" s="3">
        <f t="shared" si="3"/>
        <v>0.38104448742746616</v>
      </c>
      <c r="AA26" s="3">
        <f t="shared" si="1"/>
        <v>0.66571602027418142</v>
      </c>
      <c r="AB26" s="3">
        <f t="shared" si="4"/>
        <v>0.3</v>
      </c>
      <c r="AC26" s="19">
        <f t="shared" si="5"/>
        <v>197</v>
      </c>
    </row>
    <row r="27" spans="1:29" s="18" customFormat="1" x14ac:dyDescent="0.25">
      <c r="A27" s="18">
        <f>SUM(IF(FREQUENCY(A7:A26,A7:A26)&gt;0,1))</f>
        <v>20</v>
      </c>
      <c r="C27" s="35" t="s">
        <v>78</v>
      </c>
      <c r="D27" s="35" t="s">
        <v>79</v>
      </c>
      <c r="E27" s="35" t="s">
        <v>80</v>
      </c>
      <c r="F27" s="18">
        <f>SUM(F7:F26)</f>
        <v>2850</v>
      </c>
      <c r="G27" s="18">
        <f>SUM(G7:G26)</f>
        <v>12504</v>
      </c>
      <c r="H27" s="18">
        <f t="shared" ref="H27:W27" si="13">SUM(H7:H26)</f>
        <v>10876</v>
      </c>
      <c r="I27" s="18">
        <f t="shared" si="13"/>
        <v>1844</v>
      </c>
      <c r="J27" s="18">
        <f t="shared" si="13"/>
        <v>3060</v>
      </c>
      <c r="K27" s="18">
        <f t="shared" si="13"/>
        <v>668</v>
      </c>
      <c r="L27" s="18">
        <f t="shared" si="13"/>
        <v>55</v>
      </c>
      <c r="M27" s="18">
        <f t="shared" si="13"/>
        <v>291</v>
      </c>
      <c r="N27" s="18">
        <f t="shared" si="13"/>
        <v>1175</v>
      </c>
      <c r="O27" s="18">
        <f t="shared" si="13"/>
        <v>414</v>
      </c>
      <c r="P27" s="18">
        <f t="shared" si="13"/>
        <v>124</v>
      </c>
      <c r="Q27" s="18">
        <f t="shared" si="13"/>
        <v>1160</v>
      </c>
      <c r="R27" s="18">
        <f t="shared" si="13"/>
        <v>1753</v>
      </c>
      <c r="S27" s="18">
        <f t="shared" si="13"/>
        <v>150</v>
      </c>
      <c r="T27" s="18">
        <f t="shared" si="13"/>
        <v>285</v>
      </c>
      <c r="U27" s="18">
        <f t="shared" si="13"/>
        <v>101</v>
      </c>
      <c r="V27" s="18">
        <f t="shared" si="13"/>
        <v>81</v>
      </c>
      <c r="W27" s="18">
        <f t="shared" si="13"/>
        <v>68</v>
      </c>
      <c r="X27" s="4">
        <f t="shared" si="0"/>
        <v>0.28135343876425156</v>
      </c>
      <c r="Y27" s="4">
        <f t="shared" si="2"/>
        <v>0.36324786324786323</v>
      </c>
      <c r="Z27" s="4">
        <f t="shared" si="3"/>
        <v>0.43315557190143433</v>
      </c>
      <c r="AA27" s="4">
        <f t="shared" si="1"/>
        <v>0.79640343514929757</v>
      </c>
      <c r="AB27" s="4">
        <f t="shared" si="4"/>
        <v>0.31066980814540557</v>
      </c>
      <c r="AC27" s="18">
        <f t="shared" si="5"/>
        <v>4711</v>
      </c>
    </row>
    <row r="28" spans="1:29" s="18" customFormat="1" x14ac:dyDescent="0.25">
      <c r="A28" s="18" t="s">
        <v>69</v>
      </c>
      <c r="F28" s="18" t="s">
        <v>1</v>
      </c>
      <c r="G28" s="18" t="s">
        <v>22</v>
      </c>
      <c r="H28" s="18" t="s">
        <v>2</v>
      </c>
      <c r="I28" s="18" t="s">
        <v>3</v>
      </c>
      <c r="J28" s="18" t="s">
        <v>4</v>
      </c>
      <c r="K28" s="18" t="s">
        <v>5</v>
      </c>
      <c r="L28" s="18" t="s">
        <v>6</v>
      </c>
      <c r="M28" s="18" t="s">
        <v>7</v>
      </c>
      <c r="N28" s="18" t="s">
        <v>19</v>
      </c>
      <c r="O28" s="18" t="s">
        <v>17</v>
      </c>
      <c r="P28" s="18" t="s">
        <v>18</v>
      </c>
      <c r="Q28" s="18" t="s">
        <v>12</v>
      </c>
      <c r="R28" s="18" t="s">
        <v>11</v>
      </c>
      <c r="S28" s="18" t="s">
        <v>16</v>
      </c>
      <c r="T28" s="18" t="s">
        <v>14</v>
      </c>
      <c r="U28" s="18" t="s">
        <v>21</v>
      </c>
      <c r="V28" s="18" t="s">
        <v>15</v>
      </c>
      <c r="W28" s="18" t="s">
        <v>13</v>
      </c>
      <c r="X28" s="4" t="s">
        <v>20</v>
      </c>
      <c r="Y28" s="4" t="s">
        <v>8</v>
      </c>
      <c r="Z28" s="4" t="s">
        <v>9</v>
      </c>
      <c r="AA28" s="4" t="s">
        <v>10</v>
      </c>
      <c r="AB28" s="4" t="s">
        <v>47</v>
      </c>
      <c r="AC28" s="18" t="s">
        <v>49</v>
      </c>
    </row>
  </sheetData>
  <mergeCells count="3">
    <mergeCell ref="A4:G4"/>
    <mergeCell ref="B2:H2"/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workbookViewId="0">
      <selection activeCell="B15" sqref="B15"/>
    </sheetView>
  </sheetViews>
  <sheetFormatPr defaultRowHeight="15" x14ac:dyDescent="0.25"/>
  <cols>
    <col min="1" max="1" width="5.42578125" style="1" bestFit="1" customWidth="1"/>
    <col min="2" max="2" width="4" style="1" bestFit="1" customWidth="1"/>
    <col min="3" max="3" width="3" style="1" bestFit="1" customWidth="1"/>
    <col min="4" max="5" width="4" style="1" bestFit="1" customWidth="1"/>
    <col min="6" max="6" width="3.42578125" style="1" bestFit="1" customWidth="1"/>
    <col min="7" max="7" width="3.5703125" style="1" bestFit="1" customWidth="1"/>
    <col min="8" max="8" width="4.7109375" style="1" bestFit="1" customWidth="1"/>
    <col min="9" max="9" width="3.28515625" style="1" bestFit="1" customWidth="1"/>
    <col min="10" max="10" width="6.5703125" style="8" bestFit="1" customWidth="1"/>
    <col min="11" max="11" width="5" style="1" bestFit="1" customWidth="1"/>
    <col min="12" max="15" width="4" style="1" bestFit="1" customWidth="1"/>
    <col min="16" max="16" width="3.85546875" style="1" bestFit="1" customWidth="1"/>
    <col min="17" max="17" width="5" style="1" bestFit="1" customWidth="1"/>
    <col min="18" max="18" width="4.5703125" style="1" bestFit="1" customWidth="1"/>
    <col min="19" max="19" width="3.28515625" style="1" bestFit="1" customWidth="1"/>
    <col min="20" max="20" width="4.140625" style="1" bestFit="1" customWidth="1"/>
    <col min="21" max="21" width="5" style="1" bestFit="1" customWidth="1"/>
    <col min="22" max="22" width="5.7109375" style="2" bestFit="1" customWidth="1"/>
    <col min="23" max="23" width="4.5703125" style="6" bestFit="1" customWidth="1"/>
    <col min="24" max="24" width="6" style="2" bestFit="1" customWidth="1"/>
    <col min="25" max="25" width="4.140625" style="1" bestFit="1" customWidth="1"/>
    <col min="26" max="26" width="5.28515625" style="1" bestFit="1" customWidth="1"/>
    <col min="27" max="27" width="5.140625" style="8" bestFit="1" customWidth="1"/>
    <col min="28" max="28" width="5.28515625" style="8" bestFit="1" customWidth="1"/>
    <col min="29" max="29" width="6.5703125" style="6" bestFit="1" customWidth="1"/>
    <col min="30" max="30" width="7.5703125" style="5" customWidth="1"/>
    <col min="31" max="16384" width="9.140625" style="1"/>
  </cols>
  <sheetData>
    <row r="1" spans="1:32" x14ac:dyDescent="0.25">
      <c r="A1" s="1" t="s">
        <v>46</v>
      </c>
    </row>
    <row r="2" spans="1:32" s="16" customFormat="1" x14ac:dyDescent="0.25">
      <c r="A2" s="16" t="s">
        <v>0</v>
      </c>
      <c r="B2" s="16" t="s">
        <v>24</v>
      </c>
      <c r="C2" s="16" t="s">
        <v>25</v>
      </c>
      <c r="D2" s="16" t="s">
        <v>1</v>
      </c>
      <c r="E2" s="16" t="s">
        <v>27</v>
      </c>
      <c r="F2" s="16" t="s">
        <v>28</v>
      </c>
      <c r="G2" s="16" t="s">
        <v>29</v>
      </c>
      <c r="H2" s="16" t="s">
        <v>30</v>
      </c>
      <c r="I2" s="16" t="s">
        <v>31</v>
      </c>
      <c r="J2" s="17" t="s">
        <v>32</v>
      </c>
      <c r="K2" s="16" t="s">
        <v>4</v>
      </c>
      <c r="L2" s="16" t="s">
        <v>3</v>
      </c>
      <c r="M2" s="16" t="s">
        <v>33</v>
      </c>
      <c r="N2" s="16" t="s">
        <v>7</v>
      </c>
      <c r="O2" s="16" t="s">
        <v>12</v>
      </c>
      <c r="P2" s="16" t="s">
        <v>13</v>
      </c>
      <c r="Q2" s="16" t="s">
        <v>11</v>
      </c>
      <c r="R2" s="16" t="s">
        <v>14</v>
      </c>
      <c r="S2" s="16" t="s">
        <v>34</v>
      </c>
      <c r="T2" s="16" t="s">
        <v>35</v>
      </c>
      <c r="U2" s="16" t="s">
        <v>36</v>
      </c>
      <c r="V2" s="14" t="s">
        <v>26</v>
      </c>
      <c r="W2" s="15" t="s">
        <v>37</v>
      </c>
      <c r="X2" s="14" t="s">
        <v>38</v>
      </c>
      <c r="Y2" s="16" t="s">
        <v>39</v>
      </c>
      <c r="Z2" s="16" t="s">
        <v>40</v>
      </c>
      <c r="AA2" s="17" t="s">
        <v>41</v>
      </c>
      <c r="AB2" s="17" t="s">
        <v>42</v>
      </c>
      <c r="AC2" s="15" t="s">
        <v>43</v>
      </c>
      <c r="AD2" s="15" t="s">
        <v>44</v>
      </c>
    </row>
    <row r="3" spans="1:32" x14ac:dyDescent="0.25">
      <c r="A3" s="1">
        <v>1980</v>
      </c>
      <c r="B3" s="1">
        <v>11</v>
      </c>
      <c r="C3" s="1">
        <v>10</v>
      </c>
      <c r="D3" s="1">
        <v>35</v>
      </c>
      <c r="E3" s="1">
        <v>35</v>
      </c>
      <c r="F3" s="1">
        <v>0</v>
      </c>
      <c r="G3" s="1">
        <v>4</v>
      </c>
      <c r="H3" s="1">
        <v>2</v>
      </c>
      <c r="I3" s="1">
        <v>0</v>
      </c>
      <c r="J3" s="8">
        <v>233.2</v>
      </c>
      <c r="K3" s="1">
        <v>205</v>
      </c>
      <c r="L3" s="1">
        <v>100</v>
      </c>
      <c r="M3" s="1">
        <v>87</v>
      </c>
      <c r="N3" s="1">
        <v>10</v>
      </c>
      <c r="O3" s="1">
        <v>98</v>
      </c>
      <c r="P3" s="1">
        <v>1</v>
      </c>
      <c r="Q3" s="1">
        <v>200</v>
      </c>
      <c r="R3" s="1">
        <v>3</v>
      </c>
      <c r="S3" s="1">
        <v>1</v>
      </c>
      <c r="T3" s="1">
        <v>10</v>
      </c>
      <c r="U3" s="1">
        <v>982</v>
      </c>
      <c r="V3" s="3">
        <f t="shared" ref="V3:V12" si="0">IF((B3+C3)=0,".---",B3/(B3+C3))</f>
        <v>0.52380952380952384</v>
      </c>
      <c r="W3" s="5">
        <f t="shared" ref="W3:W12" si="1">IF(J3=0,"-.--",9*M3/(INT(J3)+10*(J3-INT(J3))/3))</f>
        <v>3.3509272467903002</v>
      </c>
      <c r="X3" s="3">
        <f t="shared" ref="X3:X12" si="2">IF(J3=0,"-.---",(K3+O3)/(INT(J3)+10*(J3-INT(J3))/3))</f>
        <v>1.2967189728958632</v>
      </c>
      <c r="Y3" s="7">
        <f t="shared" ref="Y3:Y4" si="3">IF(AD3=0,"-.-",9*K3/AD3)</f>
        <v>7.8958630527817419</v>
      </c>
      <c r="Z3" s="7">
        <f>IF(AD3=0,"-.-",9*N3/AD3)</f>
        <v>0.38516405135520693</v>
      </c>
      <c r="AA3" s="7">
        <f>IF(AD3=0,"-.-",9*O3/AD3)</f>
        <v>3.7746077032810277</v>
      </c>
      <c r="AB3" s="7">
        <f>IF(AD3=0,"-.-",9*Q3/AD3)</f>
        <v>7.7032810271041381</v>
      </c>
      <c r="AC3" s="5">
        <f t="shared" ref="AC3:AC12" si="4">IF(O3=0,"-.--",Q3/O3)</f>
        <v>2.0408163265306123</v>
      </c>
      <c r="AD3" s="5">
        <f t="shared" ref="AD3:AD11" si="5">INT(J3)+10*(J3-INT(J3))/3</f>
        <v>233.66666666666663</v>
      </c>
      <c r="AF3" s="6"/>
    </row>
    <row r="4" spans="1:32" x14ac:dyDescent="0.25">
      <c r="A4" s="1">
        <v>1981</v>
      </c>
      <c r="B4" s="1">
        <v>11</v>
      </c>
      <c r="C4" s="1">
        <v>5</v>
      </c>
      <c r="D4" s="1">
        <v>21</v>
      </c>
      <c r="E4" s="1">
        <v>21</v>
      </c>
      <c r="F4" s="1">
        <v>0</v>
      </c>
      <c r="G4" s="1">
        <v>5</v>
      </c>
      <c r="H4" s="1">
        <v>3</v>
      </c>
      <c r="I4" s="1">
        <v>0</v>
      </c>
      <c r="J4" s="8">
        <v>149</v>
      </c>
      <c r="K4" s="1">
        <v>99</v>
      </c>
      <c r="L4" s="1">
        <v>34</v>
      </c>
      <c r="M4" s="1">
        <v>28</v>
      </c>
      <c r="N4" s="1">
        <v>2</v>
      </c>
      <c r="O4" s="1">
        <v>68</v>
      </c>
      <c r="P4" s="1">
        <v>1</v>
      </c>
      <c r="Q4" s="1">
        <v>140</v>
      </c>
      <c r="R4" s="1">
        <v>1</v>
      </c>
      <c r="S4" s="1">
        <v>2</v>
      </c>
      <c r="T4" s="1">
        <v>16</v>
      </c>
      <c r="U4" s="1">
        <v>605</v>
      </c>
      <c r="V4" s="3">
        <f t="shared" si="0"/>
        <v>0.6875</v>
      </c>
      <c r="W4" s="5">
        <f t="shared" si="1"/>
        <v>1.6912751677852349</v>
      </c>
      <c r="X4" s="3">
        <f t="shared" si="2"/>
        <v>1.1208053691275168</v>
      </c>
      <c r="Y4" s="7">
        <f t="shared" si="3"/>
        <v>5.9798657718120802</v>
      </c>
      <c r="Z4" s="7">
        <f t="shared" ref="Z4:Z12" si="6">IF(AD4=0,"-.-",9*N4/AD4)</f>
        <v>0.12080536912751678</v>
      </c>
      <c r="AA4" s="7">
        <f t="shared" ref="AA4:AA12" si="7">IF(AD4=0,"-.-",9*O4/AD4)</f>
        <v>4.1073825503355703</v>
      </c>
      <c r="AB4" s="7">
        <f t="shared" ref="AB4:AB12" si="8">IF(AD4=0,"-.-",9*Q4/AD4)</f>
        <v>8.4563758389261743</v>
      </c>
      <c r="AC4" s="5">
        <f t="shared" si="4"/>
        <v>2.0588235294117645</v>
      </c>
      <c r="AD4" s="5">
        <f t="shared" si="5"/>
        <v>149</v>
      </c>
    </row>
    <row r="5" spans="1:32" x14ac:dyDescent="0.25">
      <c r="A5" s="1">
        <v>1982</v>
      </c>
      <c r="B5" s="1">
        <v>16</v>
      </c>
      <c r="C5" s="1">
        <v>12</v>
      </c>
      <c r="D5" s="1">
        <v>35</v>
      </c>
      <c r="E5" s="1">
        <v>35</v>
      </c>
      <c r="F5" s="1">
        <v>0</v>
      </c>
      <c r="G5" s="1">
        <v>10</v>
      </c>
      <c r="H5" s="1">
        <v>3</v>
      </c>
      <c r="I5" s="1">
        <v>0</v>
      </c>
      <c r="J5" s="8">
        <v>250.1</v>
      </c>
      <c r="K5" s="1">
        <v>196</v>
      </c>
      <c r="L5" s="1">
        <v>100</v>
      </c>
      <c r="M5" s="1">
        <v>88</v>
      </c>
      <c r="N5" s="1">
        <v>20</v>
      </c>
      <c r="O5" s="1">
        <v>109</v>
      </c>
      <c r="P5" s="1">
        <v>3</v>
      </c>
      <c r="Q5" s="1">
        <v>245</v>
      </c>
      <c r="R5" s="1">
        <v>8</v>
      </c>
      <c r="S5" s="1">
        <v>2</v>
      </c>
      <c r="T5" s="1">
        <v>18</v>
      </c>
      <c r="U5" s="1">
        <v>1050</v>
      </c>
      <c r="V5" s="3">
        <f t="shared" si="0"/>
        <v>0.5714285714285714</v>
      </c>
      <c r="W5" s="5">
        <f t="shared" si="1"/>
        <v>3.163781624500666</v>
      </c>
      <c r="X5" s="3">
        <f t="shared" si="2"/>
        <v>1.2183754993342211</v>
      </c>
      <c r="Y5" s="7">
        <f t="shared" ref="Y5:Y12" si="9">IF(AD5=0,"-.-",9*K5/AD5)</f>
        <v>7.046604527296938</v>
      </c>
      <c r="Z5" s="7">
        <f t="shared" ref="Z5:Z10" si="10">IF(AD5=0,"-.-",9*N5/AD5)</f>
        <v>0.71904127829560593</v>
      </c>
      <c r="AA5" s="7">
        <f t="shared" ref="AA5:AA10" si="11">IF(AD5=0,"-.-",9*O5/AD5)</f>
        <v>3.9187749667110521</v>
      </c>
      <c r="AB5" s="7">
        <f t="shared" ref="AB5:AB10" si="12">IF(AD5=0,"-.-",9*Q5/AD5)</f>
        <v>8.8082556591211727</v>
      </c>
      <c r="AC5" s="9">
        <f t="shared" si="4"/>
        <v>2.2477064220183487</v>
      </c>
      <c r="AD5" s="5">
        <f t="shared" si="5"/>
        <v>250.33333333333331</v>
      </c>
    </row>
    <row r="6" spans="1:32" x14ac:dyDescent="0.25">
      <c r="A6" s="1">
        <v>1983</v>
      </c>
      <c r="B6" s="1">
        <v>14</v>
      </c>
      <c r="C6" s="1">
        <v>9</v>
      </c>
      <c r="D6" s="1">
        <v>29</v>
      </c>
      <c r="E6" s="1">
        <v>29</v>
      </c>
      <c r="F6" s="1">
        <v>0</v>
      </c>
      <c r="G6" s="1">
        <v>5</v>
      </c>
      <c r="H6" s="1">
        <v>2</v>
      </c>
      <c r="I6" s="1">
        <v>0</v>
      </c>
      <c r="J6" s="8">
        <v>196.1</v>
      </c>
      <c r="K6" s="1">
        <v>134</v>
      </c>
      <c r="L6" s="1">
        <v>74</v>
      </c>
      <c r="M6" s="1">
        <v>65</v>
      </c>
      <c r="N6" s="1">
        <v>9</v>
      </c>
      <c r="O6" s="1">
        <v>101</v>
      </c>
      <c r="P6" s="1">
        <v>3</v>
      </c>
      <c r="Q6" s="1">
        <v>183</v>
      </c>
      <c r="R6" s="1">
        <v>4</v>
      </c>
      <c r="S6" s="1">
        <v>1</v>
      </c>
      <c r="T6" s="1">
        <v>5</v>
      </c>
      <c r="U6" s="1">
        <v>804</v>
      </c>
      <c r="V6" s="3">
        <f t="shared" si="0"/>
        <v>0.60869565217391308</v>
      </c>
      <c r="W6" s="5">
        <f t="shared" si="1"/>
        <v>2.9796264855687609</v>
      </c>
      <c r="X6" s="3">
        <f t="shared" si="2"/>
        <v>1.1969439728353142</v>
      </c>
      <c r="Y6" s="7">
        <f t="shared" si="9"/>
        <v>6.1426146010186766</v>
      </c>
      <c r="Z6" s="7">
        <f t="shared" si="10"/>
        <v>0.41256366723259769</v>
      </c>
      <c r="AA6" s="7">
        <f t="shared" si="11"/>
        <v>4.6298811544991514</v>
      </c>
      <c r="AB6" s="7">
        <f t="shared" si="12"/>
        <v>8.3887945670628188</v>
      </c>
      <c r="AC6" s="9">
        <f t="shared" si="4"/>
        <v>1.8118811881188119</v>
      </c>
      <c r="AD6" s="5">
        <f t="shared" si="5"/>
        <v>196.33333333333331</v>
      </c>
    </row>
    <row r="7" spans="1:32" x14ac:dyDescent="0.25">
      <c r="A7" s="1">
        <v>1984</v>
      </c>
      <c r="B7" s="1">
        <v>12</v>
      </c>
      <c r="C7" s="1">
        <v>11</v>
      </c>
      <c r="D7" s="1">
        <v>30</v>
      </c>
      <c r="E7" s="1">
        <v>30</v>
      </c>
      <c r="F7" s="1">
        <v>0</v>
      </c>
      <c r="G7" s="1">
        <v>5</v>
      </c>
      <c r="H7" s="1">
        <v>2</v>
      </c>
      <c r="I7" s="1">
        <v>0</v>
      </c>
      <c r="J7" s="8">
        <v>183.2</v>
      </c>
      <c r="K7" s="1">
        <v>143</v>
      </c>
      <c r="L7" s="1">
        <v>78</v>
      </c>
      <c r="M7" s="1">
        <v>62</v>
      </c>
      <c r="N7" s="1">
        <v>12</v>
      </c>
      <c r="O7" s="1">
        <v>69</v>
      </c>
      <c r="P7" s="1">
        <v>2</v>
      </c>
      <c r="Q7" s="1">
        <v>197</v>
      </c>
      <c r="R7" s="1">
        <v>4</v>
      </c>
      <c r="S7" s="1">
        <v>3</v>
      </c>
      <c r="T7" s="1">
        <v>6</v>
      </c>
      <c r="U7" s="1">
        <v>760</v>
      </c>
      <c r="V7" s="3">
        <f t="shared" si="0"/>
        <v>0.52173913043478259</v>
      </c>
      <c r="W7" s="5">
        <f t="shared" si="1"/>
        <v>3.0381125226860259</v>
      </c>
      <c r="X7" s="3">
        <f t="shared" si="2"/>
        <v>1.1542649727767698</v>
      </c>
      <c r="Y7" s="7">
        <f t="shared" si="9"/>
        <v>7.0072595281306729</v>
      </c>
      <c r="Z7" s="7">
        <f t="shared" si="10"/>
        <v>0.58802177858439209</v>
      </c>
      <c r="AA7" s="7">
        <f t="shared" si="11"/>
        <v>3.381125226860255</v>
      </c>
      <c r="AB7" s="7">
        <f t="shared" si="12"/>
        <v>9.6533575317604381</v>
      </c>
      <c r="AC7" s="9">
        <f t="shared" si="4"/>
        <v>2.8550724637681157</v>
      </c>
      <c r="AD7" s="5">
        <f t="shared" si="5"/>
        <v>183.66666666666663</v>
      </c>
    </row>
    <row r="8" spans="1:32" x14ac:dyDescent="0.25">
      <c r="A8" s="1">
        <v>1985</v>
      </c>
      <c r="B8" s="1">
        <v>10</v>
      </c>
      <c r="C8" s="1">
        <v>12</v>
      </c>
      <c r="D8" s="1">
        <v>35</v>
      </c>
      <c r="E8" s="1">
        <v>35</v>
      </c>
      <c r="F8" s="1">
        <v>0</v>
      </c>
      <c r="G8" s="1">
        <v>4</v>
      </c>
      <c r="H8" s="1">
        <v>0</v>
      </c>
      <c r="I8" s="1">
        <v>0</v>
      </c>
      <c r="J8" s="8">
        <v>232</v>
      </c>
      <c r="K8" s="1">
        <v>205</v>
      </c>
      <c r="L8" s="1">
        <v>108</v>
      </c>
      <c r="M8" s="1">
        <v>98</v>
      </c>
      <c r="N8" s="1">
        <v>12</v>
      </c>
      <c r="O8" s="1">
        <v>95</v>
      </c>
      <c r="P8" s="1">
        <v>8</v>
      </c>
      <c r="Q8" s="1">
        <v>209</v>
      </c>
      <c r="R8" s="1">
        <v>9</v>
      </c>
      <c r="S8" s="1">
        <v>2</v>
      </c>
      <c r="T8" s="1">
        <v>14</v>
      </c>
      <c r="U8" s="1">
        <v>983</v>
      </c>
      <c r="V8" s="3">
        <f t="shared" si="0"/>
        <v>0.45454545454545453</v>
      </c>
      <c r="W8" s="5">
        <f t="shared" si="1"/>
        <v>3.8017241379310347</v>
      </c>
      <c r="X8" s="3">
        <f t="shared" si="2"/>
        <v>1.2931034482758621</v>
      </c>
      <c r="Y8" s="7">
        <f t="shared" si="9"/>
        <v>7.9525862068965516</v>
      </c>
      <c r="Z8" s="7">
        <f t="shared" si="10"/>
        <v>0.46551724137931033</v>
      </c>
      <c r="AA8" s="7">
        <f t="shared" si="11"/>
        <v>3.6853448275862069</v>
      </c>
      <c r="AB8" s="7">
        <f t="shared" si="12"/>
        <v>8.1077586206896548</v>
      </c>
      <c r="AC8" s="9">
        <f t="shared" si="4"/>
        <v>2.2000000000000002</v>
      </c>
      <c r="AD8" s="5">
        <f t="shared" si="5"/>
        <v>232</v>
      </c>
    </row>
    <row r="9" spans="1:32" x14ac:dyDescent="0.25">
      <c r="A9" s="1">
        <v>1986</v>
      </c>
      <c r="B9" s="1">
        <v>12</v>
      </c>
      <c r="C9" s="1">
        <v>8</v>
      </c>
      <c r="D9" s="1">
        <v>30</v>
      </c>
      <c r="E9" s="1">
        <v>30</v>
      </c>
      <c r="F9" s="1">
        <v>0</v>
      </c>
      <c r="G9" s="1">
        <v>1</v>
      </c>
      <c r="H9" s="1">
        <v>0</v>
      </c>
      <c r="I9" s="1">
        <v>0</v>
      </c>
      <c r="J9" s="8">
        <v>178</v>
      </c>
      <c r="K9" s="1">
        <v>119</v>
      </c>
      <c r="L9" s="1">
        <v>72</v>
      </c>
      <c r="M9" s="1">
        <v>66</v>
      </c>
      <c r="N9" s="1">
        <v>14</v>
      </c>
      <c r="O9" s="1">
        <v>82</v>
      </c>
      <c r="P9" s="1">
        <v>5</v>
      </c>
      <c r="Q9" s="1">
        <v>194</v>
      </c>
      <c r="R9" s="1">
        <v>4</v>
      </c>
      <c r="S9" s="1">
        <v>0</v>
      </c>
      <c r="T9" s="1">
        <v>15</v>
      </c>
      <c r="U9" s="1">
        <v>729</v>
      </c>
      <c r="V9" s="3">
        <f t="shared" si="0"/>
        <v>0.6</v>
      </c>
      <c r="W9" s="5">
        <f t="shared" si="1"/>
        <v>3.3370786516853932</v>
      </c>
      <c r="X9" s="3">
        <f t="shared" si="2"/>
        <v>1.1292134831460674</v>
      </c>
      <c r="Y9" s="7">
        <f t="shared" si="9"/>
        <v>6.0168539325842696</v>
      </c>
      <c r="Z9" s="7">
        <f t="shared" si="10"/>
        <v>0.7078651685393258</v>
      </c>
      <c r="AA9" s="7">
        <f t="shared" si="11"/>
        <v>4.1460674157303368</v>
      </c>
      <c r="AB9" s="7">
        <f t="shared" si="12"/>
        <v>9.808988764044944</v>
      </c>
      <c r="AC9" s="9">
        <f t="shared" si="4"/>
        <v>2.3658536585365852</v>
      </c>
      <c r="AD9" s="5">
        <f t="shared" si="5"/>
        <v>178</v>
      </c>
    </row>
    <row r="10" spans="1:32" x14ac:dyDescent="0.25">
      <c r="A10" s="1">
        <v>1987</v>
      </c>
      <c r="B10" s="1">
        <v>8</v>
      </c>
      <c r="C10" s="1">
        <v>16</v>
      </c>
      <c r="D10" s="1">
        <v>34</v>
      </c>
      <c r="E10" s="1">
        <v>34</v>
      </c>
      <c r="F10" s="1">
        <v>0</v>
      </c>
      <c r="G10" s="1">
        <v>0</v>
      </c>
      <c r="H10" s="1">
        <v>0</v>
      </c>
      <c r="I10" s="1">
        <v>0</v>
      </c>
      <c r="J10" s="8">
        <v>211.2</v>
      </c>
      <c r="K10" s="1">
        <v>154</v>
      </c>
      <c r="L10" s="1">
        <v>75</v>
      </c>
      <c r="M10" s="1">
        <v>65</v>
      </c>
      <c r="N10" s="1">
        <v>14</v>
      </c>
      <c r="O10" s="1">
        <v>87</v>
      </c>
      <c r="P10" s="1">
        <v>2</v>
      </c>
      <c r="Q10" s="1">
        <v>270</v>
      </c>
      <c r="R10" s="1">
        <v>4</v>
      </c>
      <c r="S10" s="1">
        <v>2</v>
      </c>
      <c r="T10" s="1">
        <v>10</v>
      </c>
      <c r="U10" s="1">
        <v>873</v>
      </c>
      <c r="V10" s="3">
        <f t="shared" si="0"/>
        <v>0.33333333333333331</v>
      </c>
      <c r="W10" s="5">
        <f t="shared" si="1"/>
        <v>2.7637795275590555</v>
      </c>
      <c r="X10" s="3">
        <f t="shared" si="2"/>
        <v>1.1385826771653544</v>
      </c>
      <c r="Y10" s="7">
        <f t="shared" si="9"/>
        <v>6.5480314960629933</v>
      </c>
      <c r="Z10" s="7">
        <f t="shared" si="10"/>
        <v>0.59527559055118118</v>
      </c>
      <c r="AA10" s="7">
        <f t="shared" si="11"/>
        <v>3.6992125984251976</v>
      </c>
      <c r="AB10" s="7">
        <f t="shared" si="12"/>
        <v>11.480314960629924</v>
      </c>
      <c r="AC10" s="9">
        <f t="shared" si="4"/>
        <v>3.103448275862069</v>
      </c>
      <c r="AD10" s="5">
        <f t="shared" si="5"/>
        <v>211.66666666666663</v>
      </c>
    </row>
    <row r="11" spans="1:32" x14ac:dyDescent="0.25">
      <c r="A11" s="1">
        <v>1988</v>
      </c>
      <c r="B11" s="1">
        <v>12</v>
      </c>
      <c r="C11" s="1">
        <v>11</v>
      </c>
      <c r="D11" s="1">
        <v>33</v>
      </c>
      <c r="E11" s="1">
        <v>33</v>
      </c>
      <c r="F11" s="1">
        <v>0</v>
      </c>
      <c r="G11" s="1">
        <v>4</v>
      </c>
      <c r="H11" s="1">
        <v>1</v>
      </c>
      <c r="I11" s="1">
        <v>0</v>
      </c>
      <c r="J11" s="8">
        <v>220</v>
      </c>
      <c r="K11" s="1">
        <v>186</v>
      </c>
      <c r="L11" s="1">
        <v>98</v>
      </c>
      <c r="M11" s="1">
        <v>86</v>
      </c>
      <c r="N11" s="1">
        <v>18</v>
      </c>
      <c r="O11" s="1">
        <v>87</v>
      </c>
      <c r="P11" s="1">
        <v>6</v>
      </c>
      <c r="Q11" s="1">
        <v>228</v>
      </c>
      <c r="R11" s="1">
        <v>7</v>
      </c>
      <c r="S11" s="1">
        <v>7</v>
      </c>
      <c r="T11" s="1">
        <v>10</v>
      </c>
      <c r="U11" s="1">
        <v>930</v>
      </c>
      <c r="V11" s="3">
        <f t="shared" si="0"/>
        <v>0.52173913043478259</v>
      </c>
      <c r="W11" s="5">
        <f t="shared" si="1"/>
        <v>3.5181818181818181</v>
      </c>
      <c r="X11" s="3">
        <f t="shared" si="2"/>
        <v>1.240909090909091</v>
      </c>
      <c r="Y11" s="7">
        <f t="shared" si="9"/>
        <v>7.6090909090909093</v>
      </c>
      <c r="Z11" s="7">
        <f t="shared" si="6"/>
        <v>0.73636363636363633</v>
      </c>
      <c r="AA11" s="7">
        <f t="shared" si="7"/>
        <v>3.5590909090909091</v>
      </c>
      <c r="AB11" s="7">
        <f t="shared" si="8"/>
        <v>9.327272727272728</v>
      </c>
      <c r="AC11" s="9">
        <f t="shared" si="4"/>
        <v>2.6206896551724137</v>
      </c>
      <c r="AD11" s="5">
        <f t="shared" si="5"/>
        <v>220</v>
      </c>
    </row>
    <row r="12" spans="1:32" s="13" customFormat="1" x14ac:dyDescent="0.25">
      <c r="A12" s="13">
        <f>SUM(IF(FREQUENCY(A3:A11,A3:A11)&gt;0,1))</f>
        <v>9</v>
      </c>
      <c r="B12" s="13">
        <f t="shared" ref="B12:I12" si="13">SUM(B3:B11)</f>
        <v>106</v>
      </c>
      <c r="C12" s="13">
        <f t="shared" si="13"/>
        <v>94</v>
      </c>
      <c r="D12" s="13">
        <f t="shared" si="13"/>
        <v>282</v>
      </c>
      <c r="E12" s="13">
        <f t="shared" si="13"/>
        <v>282</v>
      </c>
      <c r="F12" s="13">
        <f t="shared" si="13"/>
        <v>0</v>
      </c>
      <c r="G12" s="13">
        <f t="shared" si="13"/>
        <v>38</v>
      </c>
      <c r="H12" s="13">
        <f t="shared" si="13"/>
        <v>13</v>
      </c>
      <c r="I12" s="13">
        <f t="shared" si="13"/>
        <v>0</v>
      </c>
      <c r="J12" s="12">
        <f>INT(AD12)+3*(AD12-INT(AD12))/10</f>
        <v>1854.2</v>
      </c>
      <c r="K12" s="13">
        <f t="shared" ref="K12:U12" si="14">SUM(K3:K11)</f>
        <v>1441</v>
      </c>
      <c r="L12" s="13">
        <f t="shared" si="14"/>
        <v>739</v>
      </c>
      <c r="M12" s="13">
        <f t="shared" si="14"/>
        <v>645</v>
      </c>
      <c r="N12" s="13">
        <f t="shared" si="14"/>
        <v>111</v>
      </c>
      <c r="O12" s="13">
        <f t="shared" si="14"/>
        <v>796</v>
      </c>
      <c r="P12" s="13">
        <f t="shared" si="14"/>
        <v>31</v>
      </c>
      <c r="Q12" s="13">
        <f t="shared" si="14"/>
        <v>1866</v>
      </c>
      <c r="R12" s="13">
        <f t="shared" si="14"/>
        <v>44</v>
      </c>
      <c r="S12" s="13">
        <f t="shared" si="14"/>
        <v>20</v>
      </c>
      <c r="T12" s="13">
        <f t="shared" si="14"/>
        <v>104</v>
      </c>
      <c r="U12" s="13">
        <f t="shared" si="14"/>
        <v>7716</v>
      </c>
      <c r="V12" s="10">
        <f t="shared" si="0"/>
        <v>0.53</v>
      </c>
      <c r="W12" s="11">
        <f t="shared" si="1"/>
        <v>3.1299424874191226</v>
      </c>
      <c r="X12" s="10">
        <f t="shared" si="2"/>
        <v>1.2061466570812365</v>
      </c>
      <c r="Y12" s="12">
        <f t="shared" si="9"/>
        <v>6.9926312005751265</v>
      </c>
      <c r="Z12" s="12">
        <f t="shared" si="6"/>
        <v>0.53864126527677936</v>
      </c>
      <c r="AA12" s="12">
        <f t="shared" si="7"/>
        <v>3.862688713156003</v>
      </c>
      <c r="AB12" s="12">
        <f t="shared" si="8"/>
        <v>9.0549964054636956</v>
      </c>
      <c r="AC12" s="11">
        <f t="shared" si="4"/>
        <v>2.3442211055276383</v>
      </c>
      <c r="AD12" s="11">
        <f>SUM(AD3:AD11)</f>
        <v>1854.6666666666665</v>
      </c>
    </row>
    <row r="13" spans="1:32" s="13" customFormat="1" x14ac:dyDescent="0.25">
      <c r="A13" s="13" t="s">
        <v>45</v>
      </c>
      <c r="B13" s="13" t="s">
        <v>24</v>
      </c>
      <c r="C13" s="13" t="s">
        <v>25</v>
      </c>
      <c r="D13" s="13" t="s">
        <v>1</v>
      </c>
      <c r="E13" s="13" t="s">
        <v>27</v>
      </c>
      <c r="F13" s="13" t="s">
        <v>28</v>
      </c>
      <c r="G13" s="13" t="s">
        <v>29</v>
      </c>
      <c r="H13" s="13" t="s">
        <v>30</v>
      </c>
      <c r="I13" s="13" t="s">
        <v>31</v>
      </c>
      <c r="J13" s="12" t="s">
        <v>32</v>
      </c>
      <c r="K13" s="13" t="s">
        <v>4</v>
      </c>
      <c r="L13" s="13" t="s">
        <v>3</v>
      </c>
      <c r="M13" s="13" t="s">
        <v>33</v>
      </c>
      <c r="N13" s="13" t="s">
        <v>7</v>
      </c>
      <c r="O13" s="13" t="s">
        <v>12</v>
      </c>
      <c r="P13" s="13" t="s">
        <v>13</v>
      </c>
      <c r="Q13" s="13" t="s">
        <v>11</v>
      </c>
      <c r="R13" s="13" t="s">
        <v>14</v>
      </c>
      <c r="S13" s="13" t="s">
        <v>34</v>
      </c>
      <c r="T13" s="13" t="s">
        <v>35</v>
      </c>
      <c r="U13" s="13" t="s">
        <v>36</v>
      </c>
      <c r="V13" s="10" t="s">
        <v>26</v>
      </c>
      <c r="W13" s="11" t="s">
        <v>37</v>
      </c>
      <c r="X13" s="10" t="s">
        <v>38</v>
      </c>
      <c r="Y13" s="13" t="s">
        <v>39</v>
      </c>
      <c r="Z13" s="13" t="s">
        <v>40</v>
      </c>
      <c r="AA13" s="12" t="s">
        <v>41</v>
      </c>
      <c r="AB13" s="12" t="s">
        <v>42</v>
      </c>
      <c r="AC13" s="11" t="s">
        <v>43</v>
      </c>
      <c r="AD13" s="11" t="s">
        <v>44</v>
      </c>
    </row>
  </sheetData>
  <pageMargins left="0.7" right="0.7" top="0.75" bottom="0.75" header="0.3" footer="0.3"/>
  <ignoredErrors>
    <ignoredError sqref="J12 Y1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workbookViewId="0">
      <selection activeCell="B12" sqref="B12"/>
    </sheetView>
  </sheetViews>
  <sheetFormatPr defaultRowHeight="15" x14ac:dyDescent="0.25"/>
  <cols>
    <col min="1" max="1" width="5.42578125" style="1" bestFit="1" customWidth="1"/>
    <col min="2" max="2" width="4" style="1" bestFit="1" customWidth="1"/>
    <col min="3" max="4" width="5" style="1" bestFit="1" customWidth="1"/>
    <col min="5" max="5" width="4" style="1" bestFit="1" customWidth="1"/>
    <col min="6" max="6" width="5" style="1" bestFit="1" customWidth="1"/>
    <col min="7" max="7" width="4" style="1" bestFit="1" customWidth="1"/>
    <col min="8" max="8" width="3.140625" style="1" bestFit="1" customWidth="1"/>
    <col min="9" max="10" width="4" style="1" bestFit="1" customWidth="1"/>
    <col min="11" max="11" width="3.140625" style="1" bestFit="1" customWidth="1"/>
    <col min="12" max="12" width="4" style="1" bestFit="1" customWidth="1"/>
    <col min="13" max="13" width="5" style="1" bestFit="1" customWidth="1"/>
    <col min="14" max="14" width="4" style="1" bestFit="1" customWidth="1"/>
    <col min="15" max="15" width="4.5703125" style="1" bestFit="1" customWidth="1"/>
    <col min="16" max="16" width="3.28515625" style="1" bestFit="1" customWidth="1"/>
    <col min="17" max="17" width="3" style="1" bestFit="1" customWidth="1"/>
    <col min="18" max="18" width="3.85546875" style="1" bestFit="1" customWidth="1"/>
    <col min="19" max="19" width="4.5703125" style="1" bestFit="1" customWidth="1"/>
    <col min="20" max="20" width="4.5703125" style="2" bestFit="1" customWidth="1"/>
    <col min="21" max="21" width="4.7109375" style="2" bestFit="1" customWidth="1"/>
    <col min="22" max="23" width="4.5703125" style="2" bestFit="1" customWidth="1"/>
    <col min="24" max="24" width="6.28515625" style="2" bestFit="1" customWidth="1"/>
    <col min="25" max="25" width="5" style="19" bestFit="1" customWidth="1"/>
    <col min="26" max="16384" width="9.140625" style="1"/>
  </cols>
  <sheetData>
    <row r="1" spans="1:25" x14ac:dyDescent="0.25">
      <c r="A1" s="26" t="s">
        <v>23</v>
      </c>
      <c r="B1" s="26"/>
      <c r="C1" s="26"/>
    </row>
    <row r="2" spans="1:25" s="18" customFormat="1" x14ac:dyDescent="0.25">
      <c r="A2" s="18" t="s">
        <v>0</v>
      </c>
      <c r="B2" s="18" t="s">
        <v>1</v>
      </c>
      <c r="C2" s="18" t="s">
        <v>22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17</v>
      </c>
      <c r="K2" s="18" t="s">
        <v>18</v>
      </c>
      <c r="L2" s="18" t="s">
        <v>12</v>
      </c>
      <c r="M2" s="18" t="s">
        <v>11</v>
      </c>
      <c r="N2" s="18" t="s">
        <v>16</v>
      </c>
      <c r="O2" s="18" t="s">
        <v>14</v>
      </c>
      <c r="P2" s="18" t="s">
        <v>21</v>
      </c>
      <c r="Q2" s="18" t="s">
        <v>15</v>
      </c>
      <c r="R2" s="18" t="s">
        <v>13</v>
      </c>
      <c r="S2" s="18" t="s">
        <v>48</v>
      </c>
      <c r="T2" s="4" t="s">
        <v>20</v>
      </c>
      <c r="U2" s="4" t="s">
        <v>8</v>
      </c>
      <c r="V2" s="4" t="s">
        <v>9</v>
      </c>
      <c r="W2" s="4" t="s">
        <v>10</v>
      </c>
      <c r="X2" s="4" t="s">
        <v>47</v>
      </c>
      <c r="Y2" s="18" t="s">
        <v>49</v>
      </c>
    </row>
    <row r="3" spans="1:25" x14ac:dyDescent="0.25">
      <c r="A3" s="1">
        <v>1980</v>
      </c>
      <c r="B3" s="1">
        <v>35</v>
      </c>
      <c r="C3" s="1">
        <v>982</v>
      </c>
      <c r="D3" s="1">
        <v>867</v>
      </c>
      <c r="E3" s="1">
        <v>100</v>
      </c>
      <c r="F3" s="1">
        <v>205</v>
      </c>
      <c r="G3" s="1">
        <v>32</v>
      </c>
      <c r="H3" s="1">
        <v>4</v>
      </c>
      <c r="I3" s="1">
        <v>10</v>
      </c>
      <c r="J3" s="1">
        <v>24</v>
      </c>
      <c r="K3" s="1">
        <v>12</v>
      </c>
      <c r="L3" s="1">
        <v>98</v>
      </c>
      <c r="M3" s="1">
        <v>200</v>
      </c>
      <c r="N3" s="1">
        <v>17</v>
      </c>
      <c r="O3" s="1">
        <v>3</v>
      </c>
      <c r="P3" s="1">
        <v>7</v>
      </c>
      <c r="Q3" s="1">
        <v>7</v>
      </c>
      <c r="R3" s="1">
        <v>1</v>
      </c>
      <c r="S3" s="1">
        <v>16</v>
      </c>
      <c r="T3" s="3">
        <f t="shared" ref="T3:T12" si="0">IF(D3=0,".---",F3/D3)</f>
        <v>0.2364475201845444</v>
      </c>
      <c r="U3" s="3">
        <f t="shared" ref="U3:U12" si="1">IF((D3+L3+O3+Q3)=0,".---",(F3+L3+O3)/(D3+L3+O3+Q3))</f>
        <v>0.31384615384615383</v>
      </c>
      <c r="V3" s="3">
        <f>IF(D3=0,".---",Y3/D3)</f>
        <v>0.31718569780853517</v>
      </c>
      <c r="W3" s="3">
        <f t="shared" ref="W3:W12" si="2">U3+V3</f>
        <v>0.631031851654689</v>
      </c>
      <c r="X3" s="3">
        <f>IF((D3-M3-I3+Q3)=0,".---",(F3-I3)/(D3-M3-I3+Q3))</f>
        <v>0.29367469879518071</v>
      </c>
      <c r="Y3" s="19">
        <f>(F3-G3-H3-I3)+2*G3+3*H3+4*I3</f>
        <v>275</v>
      </c>
    </row>
    <row r="4" spans="1:25" x14ac:dyDescent="0.25">
      <c r="A4" s="1">
        <v>1981</v>
      </c>
      <c r="B4" s="1">
        <v>21</v>
      </c>
      <c r="C4" s="1">
        <v>605</v>
      </c>
      <c r="D4" s="1">
        <v>528</v>
      </c>
      <c r="E4" s="1">
        <v>34</v>
      </c>
      <c r="F4" s="1">
        <v>99</v>
      </c>
      <c r="G4" s="1">
        <v>7</v>
      </c>
      <c r="H4" s="1">
        <v>1</v>
      </c>
      <c r="I4" s="1">
        <v>2</v>
      </c>
      <c r="J4" s="1">
        <v>21</v>
      </c>
      <c r="K4" s="1">
        <v>7</v>
      </c>
      <c r="L4" s="1">
        <v>68</v>
      </c>
      <c r="M4" s="1">
        <v>140</v>
      </c>
      <c r="N4" s="1">
        <v>10</v>
      </c>
      <c r="O4" s="1">
        <v>1</v>
      </c>
      <c r="P4" s="1">
        <v>5</v>
      </c>
      <c r="Q4" s="1">
        <v>3</v>
      </c>
      <c r="R4" s="1">
        <v>1</v>
      </c>
      <c r="S4" s="1">
        <v>11</v>
      </c>
      <c r="T4" s="3">
        <f t="shared" si="0"/>
        <v>0.1875</v>
      </c>
      <c r="U4" s="3">
        <f t="shared" si="1"/>
        <v>0.28000000000000003</v>
      </c>
      <c r="V4" s="3">
        <f t="shared" ref="V4:V12" si="3">IF(D4=0,".---",Y4/D4)</f>
        <v>0.21590909090909091</v>
      </c>
      <c r="W4" s="3">
        <f t="shared" si="2"/>
        <v>0.49590909090909097</v>
      </c>
      <c r="X4" s="3">
        <f t="shared" ref="X4:X12" si="4">IF((D4-M4-I4+Q4)=0,".---",(F4-I4)/(D4-M4-I4+Q4))</f>
        <v>0.24935732647814909</v>
      </c>
      <c r="Y4" s="19">
        <f t="shared" ref="Y4:Y11" si="5">(F4-G4-H4-I4)+2*G4+3*H4+4*I4</f>
        <v>114</v>
      </c>
    </row>
    <row r="5" spans="1:25" x14ac:dyDescent="0.25">
      <c r="A5" s="1">
        <v>1982</v>
      </c>
      <c r="B5" s="1">
        <v>35</v>
      </c>
      <c r="C5" s="1">
        <v>1050</v>
      </c>
      <c r="D5" s="1">
        <v>920</v>
      </c>
      <c r="E5" s="1">
        <v>100</v>
      </c>
      <c r="F5" s="1">
        <v>196</v>
      </c>
      <c r="G5" s="1">
        <v>31</v>
      </c>
      <c r="H5" s="1">
        <v>6</v>
      </c>
      <c r="I5" s="1">
        <v>20</v>
      </c>
      <c r="J5" s="1">
        <v>39</v>
      </c>
      <c r="K5" s="1">
        <v>12</v>
      </c>
      <c r="L5" s="1">
        <v>109</v>
      </c>
      <c r="M5" s="1">
        <v>245</v>
      </c>
      <c r="N5" s="1">
        <v>12</v>
      </c>
      <c r="O5" s="1">
        <v>8</v>
      </c>
      <c r="P5" s="1">
        <v>9</v>
      </c>
      <c r="Q5" s="1">
        <v>3</v>
      </c>
      <c r="R5" s="1">
        <v>3</v>
      </c>
      <c r="S5" s="1">
        <v>13</v>
      </c>
      <c r="T5" s="3">
        <f t="shared" si="0"/>
        <v>0.21304347826086956</v>
      </c>
      <c r="U5" s="3">
        <f t="shared" si="1"/>
        <v>0.30096153846153845</v>
      </c>
      <c r="V5" s="3">
        <f t="shared" si="3"/>
        <v>0.32500000000000001</v>
      </c>
      <c r="W5" s="3">
        <f t="shared" si="2"/>
        <v>0.62596153846153846</v>
      </c>
      <c r="X5" s="3">
        <f t="shared" si="4"/>
        <v>0.26747720364741639</v>
      </c>
      <c r="Y5" s="19">
        <f t="shared" si="5"/>
        <v>299</v>
      </c>
    </row>
    <row r="6" spans="1:25" x14ac:dyDescent="0.25">
      <c r="A6" s="1">
        <v>1983</v>
      </c>
      <c r="B6" s="1">
        <v>29</v>
      </c>
      <c r="C6" s="1">
        <v>804</v>
      </c>
      <c r="D6" s="1">
        <v>686</v>
      </c>
      <c r="E6" s="1">
        <v>73</v>
      </c>
      <c r="F6" s="1">
        <v>134</v>
      </c>
      <c r="G6" s="1">
        <v>21</v>
      </c>
      <c r="H6" s="1">
        <v>4</v>
      </c>
      <c r="I6" s="1">
        <v>9</v>
      </c>
      <c r="J6" s="1">
        <v>21</v>
      </c>
      <c r="K6" s="1">
        <v>8</v>
      </c>
      <c r="L6" s="1">
        <v>101</v>
      </c>
      <c r="M6" s="1">
        <v>183</v>
      </c>
      <c r="N6" s="1">
        <v>20</v>
      </c>
      <c r="O6" s="1">
        <v>4</v>
      </c>
      <c r="P6" s="1">
        <v>7</v>
      </c>
      <c r="Q6" s="1">
        <v>5</v>
      </c>
      <c r="R6" s="1">
        <v>3</v>
      </c>
      <c r="S6" s="1">
        <v>8</v>
      </c>
      <c r="T6" s="3">
        <f t="shared" si="0"/>
        <v>0.19533527696793002</v>
      </c>
      <c r="U6" s="3">
        <f t="shared" si="1"/>
        <v>0.30025125628140703</v>
      </c>
      <c r="V6" s="3">
        <f t="shared" si="3"/>
        <v>0.27696793002915454</v>
      </c>
      <c r="W6" s="3">
        <f t="shared" si="2"/>
        <v>0.57721918631056157</v>
      </c>
      <c r="X6" s="3">
        <f t="shared" si="4"/>
        <v>0.25050100200400799</v>
      </c>
      <c r="Y6" s="19">
        <f t="shared" si="5"/>
        <v>190</v>
      </c>
    </row>
    <row r="7" spans="1:25" x14ac:dyDescent="0.25">
      <c r="A7" s="1">
        <v>1984</v>
      </c>
      <c r="B7" s="1">
        <v>30</v>
      </c>
      <c r="C7" s="1">
        <v>760</v>
      </c>
      <c r="D7" s="1">
        <v>676</v>
      </c>
      <c r="E7" s="1">
        <v>78</v>
      </c>
      <c r="F7" s="1">
        <v>143</v>
      </c>
      <c r="G7" s="1">
        <v>19</v>
      </c>
      <c r="H7" s="1">
        <v>4</v>
      </c>
      <c r="I7" s="1">
        <v>12</v>
      </c>
      <c r="J7" s="1">
        <v>37</v>
      </c>
      <c r="K7" s="1">
        <v>7</v>
      </c>
      <c r="L7" s="1">
        <v>69</v>
      </c>
      <c r="M7" s="1">
        <v>197</v>
      </c>
      <c r="N7" s="1">
        <v>10</v>
      </c>
      <c r="O7" s="1">
        <v>4</v>
      </c>
      <c r="P7" s="1">
        <v>4</v>
      </c>
      <c r="Q7" s="1">
        <v>6</v>
      </c>
      <c r="R7" s="1">
        <v>2</v>
      </c>
      <c r="S7" s="1">
        <v>11</v>
      </c>
      <c r="T7" s="3">
        <f t="shared" si="0"/>
        <v>0.21153846153846154</v>
      </c>
      <c r="U7" s="3">
        <f t="shared" si="1"/>
        <v>0.28609271523178809</v>
      </c>
      <c r="V7" s="3">
        <f t="shared" si="3"/>
        <v>0.30473372781065089</v>
      </c>
      <c r="W7" s="3">
        <f t="shared" si="2"/>
        <v>0.59082644304243903</v>
      </c>
      <c r="X7" s="3">
        <f t="shared" si="4"/>
        <v>0.27695560253699791</v>
      </c>
      <c r="Y7" s="19">
        <f t="shared" si="5"/>
        <v>206</v>
      </c>
    </row>
    <row r="8" spans="1:25" x14ac:dyDescent="0.25">
      <c r="A8" s="1">
        <v>1985</v>
      </c>
      <c r="B8" s="1">
        <v>35</v>
      </c>
      <c r="C8" s="1">
        <v>983</v>
      </c>
      <c r="D8" s="1">
        <v>856</v>
      </c>
      <c r="E8" s="1">
        <v>108</v>
      </c>
      <c r="F8" s="1">
        <v>205</v>
      </c>
      <c r="G8" s="1">
        <v>33</v>
      </c>
      <c r="H8" s="1">
        <v>8</v>
      </c>
      <c r="I8" s="1">
        <v>12</v>
      </c>
      <c r="J8" s="1">
        <v>31</v>
      </c>
      <c r="K8" s="1">
        <v>12</v>
      </c>
      <c r="L8" s="1">
        <v>95</v>
      </c>
      <c r="M8" s="1">
        <v>209</v>
      </c>
      <c r="N8" s="1">
        <v>16</v>
      </c>
      <c r="O8" s="1">
        <v>9</v>
      </c>
      <c r="P8" s="1">
        <v>11</v>
      </c>
      <c r="Q8" s="1">
        <v>12</v>
      </c>
      <c r="R8" s="1">
        <v>8</v>
      </c>
      <c r="S8" s="1">
        <v>10</v>
      </c>
      <c r="T8" s="3">
        <f t="shared" si="0"/>
        <v>0.23948598130841123</v>
      </c>
      <c r="U8" s="3">
        <f t="shared" si="1"/>
        <v>0.31790123456790126</v>
      </c>
      <c r="V8" s="3">
        <f t="shared" si="3"/>
        <v>0.33878504672897197</v>
      </c>
      <c r="W8" s="3">
        <f t="shared" si="2"/>
        <v>0.65668628129687323</v>
      </c>
      <c r="X8" s="3">
        <f t="shared" si="4"/>
        <v>0.29829984544049459</v>
      </c>
      <c r="Y8" s="19">
        <f t="shared" si="5"/>
        <v>290</v>
      </c>
    </row>
    <row r="9" spans="1:25" x14ac:dyDescent="0.25">
      <c r="A9" s="1">
        <v>1986</v>
      </c>
      <c r="B9" s="1">
        <v>30</v>
      </c>
      <c r="C9" s="1">
        <v>729</v>
      </c>
      <c r="D9" s="1">
        <v>634</v>
      </c>
      <c r="E9" s="1">
        <v>72</v>
      </c>
      <c r="F9" s="1">
        <v>119</v>
      </c>
      <c r="G9" s="1">
        <v>30</v>
      </c>
      <c r="H9" s="1">
        <v>4</v>
      </c>
      <c r="I9" s="1">
        <v>14</v>
      </c>
      <c r="J9" s="1">
        <v>26</v>
      </c>
      <c r="K9" s="1">
        <v>9</v>
      </c>
      <c r="L9" s="1">
        <v>82</v>
      </c>
      <c r="M9" s="1">
        <v>194</v>
      </c>
      <c r="N9" s="1">
        <v>9</v>
      </c>
      <c r="O9" s="1">
        <v>4</v>
      </c>
      <c r="P9" s="1">
        <v>5</v>
      </c>
      <c r="Q9" s="1">
        <v>4</v>
      </c>
      <c r="R9" s="1">
        <v>5</v>
      </c>
      <c r="S9" s="1">
        <v>7</v>
      </c>
      <c r="T9" s="3">
        <f t="shared" si="0"/>
        <v>0.18769716088328076</v>
      </c>
      <c r="U9" s="3">
        <f t="shared" si="1"/>
        <v>0.28314917127071826</v>
      </c>
      <c r="V9" s="3">
        <f t="shared" si="3"/>
        <v>0.31388012618296529</v>
      </c>
      <c r="W9" s="3">
        <f t="shared" si="2"/>
        <v>0.59702929745368349</v>
      </c>
      <c r="X9" s="3">
        <f t="shared" si="4"/>
        <v>0.2441860465116279</v>
      </c>
      <c r="Y9" s="19">
        <f t="shared" si="5"/>
        <v>199</v>
      </c>
    </row>
    <row r="10" spans="1:25" x14ac:dyDescent="0.25">
      <c r="A10" s="1">
        <v>1987</v>
      </c>
      <c r="B10" s="1">
        <v>34</v>
      </c>
      <c r="C10" s="1">
        <v>873</v>
      </c>
      <c r="D10" s="1">
        <v>771</v>
      </c>
      <c r="E10" s="1">
        <v>75</v>
      </c>
      <c r="F10" s="1">
        <v>154</v>
      </c>
      <c r="G10" s="1">
        <v>23</v>
      </c>
      <c r="H10" s="1">
        <v>3</v>
      </c>
      <c r="I10" s="1">
        <v>14</v>
      </c>
      <c r="J10" s="1">
        <v>45</v>
      </c>
      <c r="K10" s="1">
        <v>7</v>
      </c>
      <c r="L10" s="1">
        <v>87</v>
      </c>
      <c r="M10" s="1">
        <v>270</v>
      </c>
      <c r="N10" s="1">
        <v>6</v>
      </c>
      <c r="O10" s="1">
        <v>4</v>
      </c>
      <c r="P10" s="1">
        <v>9</v>
      </c>
      <c r="Q10" s="1">
        <v>1</v>
      </c>
      <c r="R10" s="1">
        <v>2</v>
      </c>
      <c r="S10" s="1">
        <v>6</v>
      </c>
      <c r="T10" s="3">
        <f t="shared" si="0"/>
        <v>0.19974059662775617</v>
      </c>
      <c r="U10" s="3">
        <f t="shared" si="1"/>
        <v>0.28389339513325607</v>
      </c>
      <c r="V10" s="3">
        <f t="shared" si="3"/>
        <v>0.29182879377431908</v>
      </c>
      <c r="W10" s="3">
        <f t="shared" si="2"/>
        <v>0.57572218890757521</v>
      </c>
      <c r="X10" s="3">
        <f t="shared" si="4"/>
        <v>0.28688524590163933</v>
      </c>
      <c r="Y10" s="19">
        <f t="shared" si="5"/>
        <v>225</v>
      </c>
    </row>
    <row r="11" spans="1:25" x14ac:dyDescent="0.25">
      <c r="A11" s="1">
        <v>1988</v>
      </c>
      <c r="B11" s="1">
        <v>33</v>
      </c>
      <c r="C11" s="1">
        <v>930</v>
      </c>
      <c r="D11" s="1">
        <v>818</v>
      </c>
      <c r="E11" s="1">
        <v>98</v>
      </c>
      <c r="F11" s="1">
        <v>186</v>
      </c>
      <c r="G11" s="1">
        <v>36</v>
      </c>
      <c r="H11" s="1">
        <v>4</v>
      </c>
      <c r="I11" s="1">
        <v>18</v>
      </c>
      <c r="J11" s="1">
        <v>46</v>
      </c>
      <c r="K11" s="1">
        <v>8</v>
      </c>
      <c r="L11" s="1">
        <v>87</v>
      </c>
      <c r="M11" s="1">
        <v>228</v>
      </c>
      <c r="N11" s="1">
        <v>7</v>
      </c>
      <c r="O11" s="1">
        <v>7</v>
      </c>
      <c r="P11" s="1">
        <v>10</v>
      </c>
      <c r="Q11" s="1">
        <v>8</v>
      </c>
      <c r="R11" s="1">
        <v>6</v>
      </c>
      <c r="S11" s="1">
        <v>14</v>
      </c>
      <c r="T11" s="3">
        <f t="shared" si="0"/>
        <v>0.22738386308068459</v>
      </c>
      <c r="U11" s="3">
        <f t="shared" si="1"/>
        <v>0.30434782608695654</v>
      </c>
      <c r="V11" s="3">
        <f t="shared" si="3"/>
        <v>0.3471882640586797</v>
      </c>
      <c r="W11" s="3">
        <f t="shared" si="2"/>
        <v>0.65153609014563618</v>
      </c>
      <c r="X11" s="3">
        <f t="shared" si="4"/>
        <v>0.28965517241379313</v>
      </c>
      <c r="Y11" s="19">
        <f t="shared" si="5"/>
        <v>284</v>
      </c>
    </row>
    <row r="12" spans="1:25" s="18" customFormat="1" x14ac:dyDescent="0.25">
      <c r="A12" s="18">
        <f>SUM(IF(FREQUENCY(A3:A11,A3:A11)&gt;0,1))</f>
        <v>9</v>
      </c>
      <c r="B12" s="18">
        <f>SUM(B3:B11)</f>
        <v>282</v>
      </c>
      <c r="C12" s="18">
        <f t="shared" ref="C12:R12" si="6">SUM(C3:C11)</f>
        <v>7716</v>
      </c>
      <c r="D12" s="18">
        <f t="shared" si="6"/>
        <v>6756</v>
      </c>
      <c r="E12" s="18">
        <f t="shared" si="6"/>
        <v>738</v>
      </c>
      <c r="F12" s="18">
        <f t="shared" si="6"/>
        <v>1441</v>
      </c>
      <c r="G12" s="18">
        <f t="shared" si="6"/>
        <v>232</v>
      </c>
      <c r="H12" s="18">
        <f t="shared" si="6"/>
        <v>38</v>
      </c>
      <c r="I12" s="18">
        <f t="shared" si="6"/>
        <v>111</v>
      </c>
      <c r="J12" s="18">
        <f t="shared" si="6"/>
        <v>290</v>
      </c>
      <c r="K12" s="18">
        <f t="shared" si="6"/>
        <v>82</v>
      </c>
      <c r="L12" s="18">
        <f t="shared" si="6"/>
        <v>796</v>
      </c>
      <c r="M12" s="18">
        <f t="shared" si="6"/>
        <v>1866</v>
      </c>
      <c r="N12" s="18">
        <f t="shared" si="6"/>
        <v>107</v>
      </c>
      <c r="O12" s="18">
        <f t="shared" si="6"/>
        <v>44</v>
      </c>
      <c r="P12" s="18">
        <f t="shared" si="6"/>
        <v>67</v>
      </c>
      <c r="Q12" s="18">
        <f t="shared" si="6"/>
        <v>49</v>
      </c>
      <c r="R12" s="18">
        <f t="shared" si="6"/>
        <v>31</v>
      </c>
      <c r="S12" s="18">
        <f>SUM(S3:S11)</f>
        <v>96</v>
      </c>
      <c r="T12" s="4">
        <f t="shared" si="0"/>
        <v>0.21329188869153345</v>
      </c>
      <c r="U12" s="4">
        <f t="shared" si="1"/>
        <v>0.2983649444081099</v>
      </c>
      <c r="V12" s="4">
        <f t="shared" si="3"/>
        <v>0.30817051509769094</v>
      </c>
      <c r="W12" s="4">
        <f t="shared" si="2"/>
        <v>0.60653545950580079</v>
      </c>
      <c r="X12" s="4">
        <f t="shared" si="4"/>
        <v>0.27547638773819388</v>
      </c>
      <c r="Y12" s="18">
        <f>SUM(Y3:Y11)</f>
        <v>2082</v>
      </c>
    </row>
    <row r="13" spans="1:25" s="18" customFormat="1" x14ac:dyDescent="0.25">
      <c r="A13" s="18" t="s">
        <v>45</v>
      </c>
      <c r="B13" s="18" t="s">
        <v>1</v>
      </c>
      <c r="C13" s="18" t="s">
        <v>22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8" t="s">
        <v>7</v>
      </c>
      <c r="J13" s="18" t="s">
        <v>17</v>
      </c>
      <c r="K13" s="18" t="s">
        <v>18</v>
      </c>
      <c r="L13" s="18" t="s">
        <v>12</v>
      </c>
      <c r="M13" s="18" t="s">
        <v>11</v>
      </c>
      <c r="N13" s="18" t="s">
        <v>16</v>
      </c>
      <c r="O13" s="18" t="s">
        <v>14</v>
      </c>
      <c r="P13" s="18" t="s">
        <v>21</v>
      </c>
      <c r="Q13" s="18" t="s">
        <v>15</v>
      </c>
      <c r="R13" s="18" t="s">
        <v>13</v>
      </c>
      <c r="S13" s="18" t="s">
        <v>48</v>
      </c>
      <c r="T13" s="4" t="s">
        <v>20</v>
      </c>
      <c r="U13" s="4" t="s">
        <v>8</v>
      </c>
      <c r="V13" s="4" t="s">
        <v>9</v>
      </c>
      <c r="W13" s="4" t="s">
        <v>10</v>
      </c>
      <c r="X13" s="4" t="s">
        <v>47</v>
      </c>
      <c r="Y13" s="18" t="s">
        <v>49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opLeftCell="A10" workbookViewId="0">
      <selection activeCell="A41" sqref="A41"/>
    </sheetView>
  </sheetViews>
  <sheetFormatPr defaultRowHeight="15" x14ac:dyDescent="0.25"/>
  <cols>
    <col min="1" max="1" width="5.42578125" style="1" bestFit="1" customWidth="1"/>
    <col min="2" max="2" width="4.42578125" style="1" bestFit="1" customWidth="1"/>
    <col min="3" max="3" width="5.85546875" style="25" bestFit="1" customWidth="1"/>
    <col min="4" max="4" width="3.28515625" style="25" bestFit="1" customWidth="1"/>
    <col min="5" max="5" width="3.5703125" style="25" bestFit="1" customWidth="1"/>
    <col min="6" max="6" width="4.140625" style="23" bestFit="1" customWidth="1"/>
    <col min="7" max="9" width="5" style="1" bestFit="1" customWidth="1"/>
    <col min="10" max="10" width="7.5703125" style="8" bestFit="1" customWidth="1"/>
    <col min="11" max="12" width="5" style="1" bestFit="1" customWidth="1"/>
    <col min="13" max="13" width="4" style="1" bestFit="1" customWidth="1"/>
    <col min="14" max="14" width="5" style="1" bestFit="1" customWidth="1"/>
    <col min="15" max="15" width="3.28515625" style="1" bestFit="1" customWidth="1"/>
    <col min="16" max="16" width="4.140625" style="1" bestFit="1" customWidth="1"/>
    <col min="17" max="18" width="4" style="1" bestFit="1" customWidth="1"/>
    <col min="19" max="19" width="4.5703125" style="1" bestFit="1" customWidth="1"/>
    <col min="20" max="20" width="6" style="1" bestFit="1" customWidth="1"/>
    <col min="21" max="21" width="5.5703125" style="2" bestFit="1" customWidth="1"/>
    <col min="22" max="22" width="5" style="6" bestFit="1" customWidth="1"/>
    <col min="23" max="23" width="5.42578125" style="6" bestFit="1" customWidth="1"/>
    <col min="24" max="24" width="4.7109375" style="8" bestFit="1" customWidth="1"/>
    <col min="25" max="25" width="8.5703125" style="6" bestFit="1" customWidth="1"/>
    <col min="26" max="16384" width="9.140625" style="1"/>
  </cols>
  <sheetData>
    <row r="1" spans="1:25" x14ac:dyDescent="0.25">
      <c r="A1" s="31"/>
      <c r="B1" s="31"/>
      <c r="F1" s="31"/>
      <c r="G1" s="31"/>
      <c r="H1" s="31"/>
    </row>
    <row r="2" spans="1:25" s="18" customFormat="1" x14ac:dyDescent="0.25">
      <c r="A2" s="18" t="s">
        <v>0</v>
      </c>
      <c r="B2" s="18" t="s">
        <v>65</v>
      </c>
      <c r="C2" s="24" t="s">
        <v>75</v>
      </c>
      <c r="D2" s="24" t="s">
        <v>76</v>
      </c>
      <c r="E2" s="24" t="s">
        <v>77</v>
      </c>
      <c r="F2" s="24" t="s">
        <v>50</v>
      </c>
      <c r="G2" s="18" t="s">
        <v>1</v>
      </c>
      <c r="H2" s="18" t="s">
        <v>27</v>
      </c>
      <c r="I2" s="18" t="s">
        <v>29</v>
      </c>
      <c r="J2" s="21" t="s">
        <v>51</v>
      </c>
      <c r="K2" s="18" t="s">
        <v>52</v>
      </c>
      <c r="L2" s="18" t="s">
        <v>53</v>
      </c>
      <c r="M2" s="18" t="s">
        <v>54</v>
      </c>
      <c r="N2" s="18" t="s">
        <v>16</v>
      </c>
      <c r="O2" s="18" t="s">
        <v>63</v>
      </c>
      <c r="P2" s="18" t="s">
        <v>35</v>
      </c>
      <c r="Q2" s="18" t="s">
        <v>17</v>
      </c>
      <c r="R2" s="18" t="s">
        <v>18</v>
      </c>
      <c r="S2" s="18" t="s">
        <v>58</v>
      </c>
      <c r="T2" s="18" t="s">
        <v>55</v>
      </c>
      <c r="U2" s="4" t="s">
        <v>60</v>
      </c>
      <c r="V2" s="20" t="s">
        <v>56</v>
      </c>
      <c r="W2" s="20" t="s">
        <v>57</v>
      </c>
      <c r="X2" s="21" t="s">
        <v>59</v>
      </c>
      <c r="Y2" s="20" t="s">
        <v>61</v>
      </c>
    </row>
    <row r="3" spans="1:25" x14ac:dyDescent="0.25">
      <c r="A3" s="1">
        <v>1988</v>
      </c>
      <c r="B3" s="19">
        <f>INT(YEARFRAC([0]!DOB,DATE(A3,6,30)))</f>
        <v>22</v>
      </c>
      <c r="C3" s="34" t="s">
        <v>78</v>
      </c>
      <c r="D3" s="34" t="s">
        <v>79</v>
      </c>
      <c r="E3" s="34" t="s">
        <v>80</v>
      </c>
      <c r="F3" s="23" t="s">
        <v>71</v>
      </c>
      <c r="G3" s="1">
        <v>50</v>
      </c>
      <c r="H3" s="1">
        <v>40</v>
      </c>
      <c r="I3" s="1">
        <v>29</v>
      </c>
      <c r="J3" s="8">
        <v>346.1</v>
      </c>
      <c r="K3" s="1">
        <v>292</v>
      </c>
      <c r="L3" s="1">
        <v>28</v>
      </c>
      <c r="M3" s="1">
        <v>3</v>
      </c>
      <c r="N3" s="1">
        <v>0</v>
      </c>
      <c r="O3" s="1">
        <v>3</v>
      </c>
      <c r="P3" s="1">
        <v>11</v>
      </c>
      <c r="Q3" s="1">
        <v>51</v>
      </c>
      <c r="R3" s="1">
        <v>17</v>
      </c>
      <c r="S3" s="1">
        <v>0</v>
      </c>
      <c r="T3" s="19">
        <f t="shared" ref="T3:T40" si="0">K3+L3+M3</f>
        <v>323</v>
      </c>
      <c r="U3" s="3">
        <f t="shared" ref="U3:U40" si="1">IF(T3=0,".---",(K3+L3)/T3)</f>
        <v>0.99071207430340558</v>
      </c>
      <c r="V3" s="5">
        <f t="shared" ref="V3:V40" si="2">IF(Y3=0,"-.--",9*(K3+L3)/Y3)</f>
        <v>8.3156881616939344</v>
      </c>
      <c r="W3" s="5">
        <f t="shared" ref="W3:W40" si="3">IF(G3=0,"-.--",(K3+L3)/G3)</f>
        <v>6.4</v>
      </c>
      <c r="X3" s="7">
        <f t="shared" ref="X3:X4" si="4">IF(AND(ISNUMBER(Q3),ISNUMBER(R3)),IF((Q3+R3)=0,"--.-",100*R3/(Q3+R3)),"--.-")</f>
        <v>25</v>
      </c>
      <c r="Y3" s="5">
        <f t="shared" ref="Y3:Y34" si="5">INT(J3)+10*(J3-INT(J3))/3</f>
        <v>346.33333333333343</v>
      </c>
    </row>
    <row r="4" spans="1:25" x14ac:dyDescent="0.25">
      <c r="A4" s="1">
        <v>1989</v>
      </c>
      <c r="B4" s="19">
        <f>INT(YEARFRAC([0]!DOB,DATE(A4,6,30)))</f>
        <v>23</v>
      </c>
      <c r="C4" s="34" t="s">
        <v>78</v>
      </c>
      <c r="D4" s="34" t="s">
        <v>79</v>
      </c>
      <c r="E4" s="34" t="s">
        <v>80</v>
      </c>
      <c r="F4" s="23" t="s">
        <v>71</v>
      </c>
      <c r="G4" s="1">
        <v>125</v>
      </c>
      <c r="H4" s="1">
        <v>119</v>
      </c>
      <c r="I4" s="1">
        <v>107</v>
      </c>
      <c r="J4" s="8">
        <v>1064.2</v>
      </c>
      <c r="K4" s="1">
        <v>728</v>
      </c>
      <c r="L4" s="1">
        <v>56</v>
      </c>
      <c r="M4" s="1">
        <v>8</v>
      </c>
      <c r="N4" s="1">
        <v>6</v>
      </c>
      <c r="O4" s="1">
        <v>9</v>
      </c>
      <c r="P4" s="1">
        <v>33</v>
      </c>
      <c r="Q4" s="1">
        <v>140</v>
      </c>
      <c r="R4" s="1">
        <v>29</v>
      </c>
      <c r="S4" s="1">
        <v>0</v>
      </c>
      <c r="T4" s="19">
        <f t="shared" si="0"/>
        <v>792</v>
      </c>
      <c r="U4" s="3">
        <f t="shared" si="1"/>
        <v>0.98989898989898994</v>
      </c>
      <c r="V4" s="5">
        <f t="shared" si="2"/>
        <v>6.627426424546023</v>
      </c>
      <c r="W4" s="5">
        <f t="shared" si="3"/>
        <v>6.2720000000000002</v>
      </c>
      <c r="X4" s="7">
        <f t="shared" si="4"/>
        <v>17.159763313609467</v>
      </c>
      <c r="Y4" s="5">
        <f t="shared" si="5"/>
        <v>1064.6666666666667</v>
      </c>
    </row>
    <row r="5" spans="1:25" x14ac:dyDescent="0.25">
      <c r="A5" s="1">
        <v>1989</v>
      </c>
      <c r="B5" s="19">
        <f>INT(YEARFRAC([0]!DOB,DATE(A5,6,30)))</f>
        <v>23</v>
      </c>
      <c r="C5" s="34" t="s">
        <v>78</v>
      </c>
      <c r="D5" s="34" t="s">
        <v>79</v>
      </c>
      <c r="E5" s="34" t="s">
        <v>80</v>
      </c>
      <c r="F5" s="23" t="s">
        <v>72</v>
      </c>
      <c r="G5" s="1">
        <v>4</v>
      </c>
      <c r="H5" s="1">
        <v>4</v>
      </c>
      <c r="I5" s="1">
        <v>4</v>
      </c>
      <c r="J5" s="8">
        <v>36</v>
      </c>
      <c r="K5" s="1">
        <v>11</v>
      </c>
      <c r="L5" s="1">
        <v>0</v>
      </c>
      <c r="M5" s="1">
        <v>0</v>
      </c>
      <c r="N5" s="1">
        <v>0</v>
      </c>
      <c r="O5" s="1" t="s">
        <v>64</v>
      </c>
      <c r="P5" s="1" t="s">
        <v>64</v>
      </c>
      <c r="Q5" s="1" t="s">
        <v>64</v>
      </c>
      <c r="R5" s="1" t="s">
        <v>64</v>
      </c>
      <c r="S5" s="1" t="s">
        <v>64</v>
      </c>
      <c r="T5" s="19">
        <f t="shared" si="0"/>
        <v>11</v>
      </c>
      <c r="U5" s="3">
        <f t="shared" si="1"/>
        <v>1</v>
      </c>
      <c r="V5" s="5">
        <f t="shared" si="2"/>
        <v>2.75</v>
      </c>
      <c r="W5" s="5">
        <f t="shared" si="3"/>
        <v>2.75</v>
      </c>
      <c r="X5" s="7" t="str">
        <f>IF(AND(ISNUMBER(Q5),ISNUMBER(R5)),IF((Q5+R5)=0,"--.-",100*R5/(Q5+R5)),"--.-")</f>
        <v>--.-</v>
      </c>
      <c r="Y5" s="5">
        <f t="shared" si="5"/>
        <v>36</v>
      </c>
    </row>
    <row r="6" spans="1:25" x14ac:dyDescent="0.25">
      <c r="A6" s="1">
        <v>1989</v>
      </c>
      <c r="B6" s="19">
        <f>INT(YEARFRAC([0]!DOB,DATE(A6,6,30)))</f>
        <v>23</v>
      </c>
      <c r="C6" s="34" t="s">
        <v>78</v>
      </c>
      <c r="D6" s="34" t="s">
        <v>79</v>
      </c>
      <c r="E6" s="34" t="s">
        <v>80</v>
      </c>
      <c r="F6" s="23" t="s">
        <v>73</v>
      </c>
      <c r="G6" s="1">
        <v>1</v>
      </c>
      <c r="H6" s="1">
        <v>1</v>
      </c>
      <c r="I6" s="1">
        <v>1</v>
      </c>
      <c r="J6" s="8">
        <v>8</v>
      </c>
      <c r="K6" s="1">
        <v>4</v>
      </c>
      <c r="L6" s="1">
        <v>0</v>
      </c>
      <c r="M6" s="1">
        <v>1</v>
      </c>
      <c r="N6" s="1">
        <v>0</v>
      </c>
      <c r="O6" s="1" t="s">
        <v>64</v>
      </c>
      <c r="P6" s="1" t="s">
        <v>64</v>
      </c>
      <c r="Q6" s="1" t="s">
        <v>64</v>
      </c>
      <c r="R6" s="1" t="s">
        <v>64</v>
      </c>
      <c r="S6" s="1" t="s">
        <v>64</v>
      </c>
      <c r="T6" s="19">
        <f t="shared" si="0"/>
        <v>5</v>
      </c>
      <c r="U6" s="3">
        <f t="shared" si="1"/>
        <v>0.8</v>
      </c>
      <c r="V6" s="5">
        <f t="shared" si="2"/>
        <v>4.5</v>
      </c>
      <c r="W6" s="5">
        <f t="shared" si="3"/>
        <v>4</v>
      </c>
      <c r="X6" s="7" t="str">
        <f t="shared" ref="X6:X40" si="6">IF(AND(ISNUMBER(Q6),ISNUMBER(R6)),IF((Q6+R6)=0,"--.-",100*R6/(Q6+R6)),"--.-")</f>
        <v>--.-</v>
      </c>
      <c r="Y6" s="5">
        <f t="shared" si="5"/>
        <v>8</v>
      </c>
    </row>
    <row r="7" spans="1:25" x14ac:dyDescent="0.25">
      <c r="A7" s="1">
        <v>1990</v>
      </c>
      <c r="B7" s="19">
        <f>INT(YEARFRAC([0]!DOB,DATE(A7,6,30)))</f>
        <v>24</v>
      </c>
      <c r="C7" s="34" t="s">
        <v>78</v>
      </c>
      <c r="D7" s="34" t="s">
        <v>79</v>
      </c>
      <c r="E7" s="34" t="s">
        <v>80</v>
      </c>
      <c r="F7" s="23" t="s">
        <v>71</v>
      </c>
      <c r="G7" s="1">
        <v>113</v>
      </c>
      <c r="H7" s="1">
        <v>101</v>
      </c>
      <c r="I7" s="1">
        <v>88</v>
      </c>
      <c r="J7" s="8">
        <v>904.2</v>
      </c>
      <c r="K7" s="1">
        <v>546</v>
      </c>
      <c r="L7" s="1">
        <v>54</v>
      </c>
      <c r="M7" s="1">
        <v>9</v>
      </c>
      <c r="N7" s="1">
        <v>4</v>
      </c>
      <c r="O7" s="1">
        <v>7</v>
      </c>
      <c r="P7" s="1">
        <v>20</v>
      </c>
      <c r="Q7" s="1">
        <v>117</v>
      </c>
      <c r="R7" s="1">
        <v>38</v>
      </c>
      <c r="S7" s="1">
        <v>2</v>
      </c>
      <c r="T7" s="19">
        <f t="shared" si="0"/>
        <v>609</v>
      </c>
      <c r="U7" s="3">
        <f t="shared" si="1"/>
        <v>0.98522167487684731</v>
      </c>
      <c r="V7" s="5">
        <f t="shared" si="2"/>
        <v>5.9690493736182741</v>
      </c>
      <c r="W7" s="5">
        <f t="shared" si="3"/>
        <v>5.3097345132743365</v>
      </c>
      <c r="X7" s="7">
        <f t="shared" si="6"/>
        <v>24.516129032258064</v>
      </c>
      <c r="Y7" s="5">
        <f t="shared" si="5"/>
        <v>904.66666666666686</v>
      </c>
    </row>
    <row r="8" spans="1:25" x14ac:dyDescent="0.25">
      <c r="A8" s="1">
        <v>1990</v>
      </c>
      <c r="B8" s="19">
        <f>INT(YEARFRAC([0]!DOB,DATE(A8,6,30)))</f>
        <v>24</v>
      </c>
      <c r="C8" s="34" t="s">
        <v>78</v>
      </c>
      <c r="D8" s="34" t="s">
        <v>79</v>
      </c>
      <c r="E8" s="34" t="s">
        <v>80</v>
      </c>
      <c r="F8" s="23" t="s">
        <v>72</v>
      </c>
      <c r="G8" s="1">
        <v>34</v>
      </c>
      <c r="H8" s="1">
        <v>34</v>
      </c>
      <c r="I8" s="1">
        <v>25</v>
      </c>
      <c r="J8" s="8">
        <v>283</v>
      </c>
      <c r="K8" s="1">
        <v>91</v>
      </c>
      <c r="L8" s="1">
        <v>4</v>
      </c>
      <c r="M8" s="1">
        <v>3</v>
      </c>
      <c r="N8" s="1">
        <v>0</v>
      </c>
      <c r="O8" s="1" t="s">
        <v>64</v>
      </c>
      <c r="P8" s="1" t="s">
        <v>64</v>
      </c>
      <c r="Q8" s="1" t="s">
        <v>64</v>
      </c>
      <c r="R8" s="1" t="s">
        <v>64</v>
      </c>
      <c r="S8" s="1" t="s">
        <v>64</v>
      </c>
      <c r="T8" s="19">
        <f t="shared" si="0"/>
        <v>98</v>
      </c>
      <c r="U8" s="3">
        <f t="shared" si="1"/>
        <v>0.96938775510204078</v>
      </c>
      <c r="V8" s="5">
        <f t="shared" si="2"/>
        <v>3.021201413427562</v>
      </c>
      <c r="W8" s="5">
        <f t="shared" si="3"/>
        <v>2.7941176470588234</v>
      </c>
      <c r="X8" s="7" t="str">
        <f t="shared" si="6"/>
        <v>--.-</v>
      </c>
      <c r="Y8" s="5">
        <f t="shared" si="5"/>
        <v>283</v>
      </c>
    </row>
    <row r="9" spans="1:25" x14ac:dyDescent="0.25">
      <c r="A9" s="1">
        <v>1990</v>
      </c>
      <c r="B9" s="19">
        <f>INT(YEARFRAC([0]!DOB,DATE(A9,6,30)))</f>
        <v>24</v>
      </c>
      <c r="C9" s="34" t="s">
        <v>78</v>
      </c>
      <c r="D9" s="34" t="s">
        <v>79</v>
      </c>
      <c r="E9" s="34" t="s">
        <v>80</v>
      </c>
      <c r="F9" s="23" t="s">
        <v>73</v>
      </c>
      <c r="G9" s="1">
        <v>17</v>
      </c>
      <c r="H9" s="1">
        <v>10</v>
      </c>
      <c r="I9" s="1">
        <v>2</v>
      </c>
      <c r="J9" s="8">
        <v>87.2</v>
      </c>
      <c r="K9" s="1">
        <v>20</v>
      </c>
      <c r="L9" s="1">
        <v>2</v>
      </c>
      <c r="M9" s="1">
        <v>1</v>
      </c>
      <c r="N9" s="1">
        <v>0</v>
      </c>
      <c r="O9" s="1" t="s">
        <v>64</v>
      </c>
      <c r="P9" s="1" t="s">
        <v>64</v>
      </c>
      <c r="Q9" s="1" t="s">
        <v>64</v>
      </c>
      <c r="R9" s="1" t="s">
        <v>64</v>
      </c>
      <c r="S9" s="1" t="s">
        <v>64</v>
      </c>
      <c r="T9" s="19">
        <f t="shared" si="0"/>
        <v>23</v>
      </c>
      <c r="U9" s="3">
        <f t="shared" si="1"/>
        <v>0.95652173913043481</v>
      </c>
      <c r="V9" s="5">
        <f t="shared" si="2"/>
        <v>2.2585551330798479</v>
      </c>
      <c r="W9" s="5">
        <f t="shared" si="3"/>
        <v>1.2941176470588236</v>
      </c>
      <c r="X9" s="7" t="str">
        <f t="shared" si="6"/>
        <v>--.-</v>
      </c>
      <c r="Y9" s="5">
        <f t="shared" si="5"/>
        <v>87.666666666666671</v>
      </c>
    </row>
    <row r="10" spans="1:25" x14ac:dyDescent="0.25">
      <c r="A10" s="1">
        <v>1990</v>
      </c>
      <c r="B10" s="19">
        <f>INT(YEARFRAC([0]!DOB,DATE(A10,6,30)))</f>
        <v>24</v>
      </c>
      <c r="C10" s="34" t="s">
        <v>78</v>
      </c>
      <c r="D10" s="34" t="s">
        <v>79</v>
      </c>
      <c r="E10" s="34" t="s">
        <v>80</v>
      </c>
      <c r="F10" s="23" t="s">
        <v>74</v>
      </c>
      <c r="G10" s="1">
        <v>2</v>
      </c>
      <c r="H10" s="1">
        <v>0</v>
      </c>
      <c r="I10" s="1">
        <v>0</v>
      </c>
      <c r="J10" s="8">
        <v>1.1000000000000001</v>
      </c>
      <c r="K10" s="1">
        <v>1</v>
      </c>
      <c r="L10" s="1">
        <v>0</v>
      </c>
      <c r="M10" s="1">
        <v>0</v>
      </c>
      <c r="N10" s="1">
        <v>0</v>
      </c>
      <c r="O10" s="1" t="s">
        <v>64</v>
      </c>
      <c r="P10" s="1" t="s">
        <v>64</v>
      </c>
      <c r="Q10" s="1" t="s">
        <v>64</v>
      </c>
      <c r="R10" s="1" t="s">
        <v>64</v>
      </c>
      <c r="S10" s="1" t="s">
        <v>64</v>
      </c>
      <c r="T10" s="19">
        <f t="shared" si="0"/>
        <v>1</v>
      </c>
      <c r="U10" s="3">
        <f t="shared" si="1"/>
        <v>1</v>
      </c>
      <c r="V10" s="5">
        <f t="shared" si="2"/>
        <v>6.7499999999999982</v>
      </c>
      <c r="W10" s="5">
        <f t="shared" si="3"/>
        <v>0.5</v>
      </c>
      <c r="X10" s="7" t="str">
        <f t="shared" si="6"/>
        <v>--.-</v>
      </c>
      <c r="Y10" s="5">
        <f t="shared" si="5"/>
        <v>1.3333333333333337</v>
      </c>
    </row>
    <row r="11" spans="1:25" x14ac:dyDescent="0.25">
      <c r="A11" s="1">
        <v>1991</v>
      </c>
      <c r="B11" s="19">
        <f>INT(YEARFRAC([0]!DOB,DATE(A11,6,30)))</f>
        <v>25</v>
      </c>
      <c r="C11" s="34" t="s">
        <v>78</v>
      </c>
      <c r="D11" s="34" t="s">
        <v>79</v>
      </c>
      <c r="E11" s="34" t="s">
        <v>80</v>
      </c>
      <c r="F11" s="25" t="s">
        <v>71</v>
      </c>
      <c r="G11" s="1">
        <v>139</v>
      </c>
      <c r="H11" s="1">
        <v>131</v>
      </c>
      <c r="I11" s="1">
        <v>124</v>
      </c>
      <c r="J11" s="8">
        <v>1175.0999999999999</v>
      </c>
      <c r="K11" s="1">
        <v>889</v>
      </c>
      <c r="L11" s="1">
        <v>64</v>
      </c>
      <c r="M11" s="1">
        <v>10</v>
      </c>
      <c r="N11" s="1">
        <v>10</v>
      </c>
      <c r="O11" s="1">
        <v>13</v>
      </c>
      <c r="P11" s="1">
        <v>36</v>
      </c>
      <c r="Q11" s="1">
        <v>126</v>
      </c>
      <c r="R11" s="1">
        <v>46</v>
      </c>
      <c r="S11" s="1">
        <v>0</v>
      </c>
      <c r="T11" s="19">
        <f t="shared" si="0"/>
        <v>963</v>
      </c>
      <c r="U11" s="3">
        <f t="shared" si="1"/>
        <v>0.98961578400830741</v>
      </c>
      <c r="V11" s="5">
        <f t="shared" si="2"/>
        <v>7.2975042541123107</v>
      </c>
      <c r="W11" s="5">
        <f t="shared" si="3"/>
        <v>6.8561151079136691</v>
      </c>
      <c r="X11" s="7">
        <f t="shared" si="6"/>
        <v>26.744186046511629</v>
      </c>
      <c r="Y11" s="5">
        <f t="shared" si="5"/>
        <v>1175.333333333333</v>
      </c>
    </row>
    <row r="12" spans="1:25" x14ac:dyDescent="0.25">
      <c r="A12" s="1">
        <v>1991</v>
      </c>
      <c r="B12" s="19">
        <f>INT(YEARFRAC([0]!DOB,DATE(A12,6,30)))</f>
        <v>25</v>
      </c>
      <c r="C12" s="34" t="s">
        <v>78</v>
      </c>
      <c r="D12" s="34" t="s">
        <v>79</v>
      </c>
      <c r="E12" s="34" t="s">
        <v>80</v>
      </c>
      <c r="F12" s="25" t="s">
        <v>5</v>
      </c>
      <c r="G12" s="1">
        <v>3</v>
      </c>
      <c r="H12" s="1">
        <v>3</v>
      </c>
      <c r="I12" s="1">
        <v>2</v>
      </c>
      <c r="J12" s="8">
        <v>25</v>
      </c>
      <c r="K12" s="1">
        <v>5</v>
      </c>
      <c r="L12" s="1">
        <v>8</v>
      </c>
      <c r="M12" s="1">
        <v>1</v>
      </c>
      <c r="N12" s="1">
        <v>1</v>
      </c>
      <c r="O12" s="1" t="s">
        <v>64</v>
      </c>
      <c r="P12" s="1" t="s">
        <v>64</v>
      </c>
      <c r="Q12" s="1" t="s">
        <v>64</v>
      </c>
      <c r="R12" s="1" t="s">
        <v>64</v>
      </c>
      <c r="S12" s="1" t="s">
        <v>64</v>
      </c>
      <c r="T12" s="19">
        <f t="shared" si="0"/>
        <v>14</v>
      </c>
      <c r="U12" s="3">
        <f t="shared" si="1"/>
        <v>0.9285714285714286</v>
      </c>
      <c r="V12" s="5">
        <f t="shared" si="2"/>
        <v>4.68</v>
      </c>
      <c r="W12" s="5">
        <f t="shared" si="3"/>
        <v>4.333333333333333</v>
      </c>
      <c r="X12" s="7" t="str">
        <f t="shared" si="6"/>
        <v>--.-</v>
      </c>
      <c r="Y12" s="5">
        <f t="shared" si="5"/>
        <v>25</v>
      </c>
    </row>
    <row r="13" spans="1:25" x14ac:dyDescent="0.25">
      <c r="A13" s="1">
        <v>1991</v>
      </c>
      <c r="B13" s="19">
        <f>INT(YEARFRAC([0]!DOB,DATE(A13,6,30)))</f>
        <v>25</v>
      </c>
      <c r="C13" s="34" t="s">
        <v>78</v>
      </c>
      <c r="D13" s="34" t="s">
        <v>79</v>
      </c>
      <c r="E13" s="34" t="s">
        <v>80</v>
      </c>
      <c r="F13" s="25" t="s">
        <v>72</v>
      </c>
      <c r="G13" s="1">
        <v>1</v>
      </c>
      <c r="H13" s="1">
        <v>0</v>
      </c>
      <c r="I13" s="1">
        <v>0</v>
      </c>
      <c r="J13" s="8">
        <v>1</v>
      </c>
      <c r="K13" s="1">
        <v>0</v>
      </c>
      <c r="L13" s="1">
        <v>1</v>
      </c>
      <c r="M13" s="1">
        <v>0</v>
      </c>
      <c r="N13" s="1">
        <v>0</v>
      </c>
      <c r="O13" s="1" t="s">
        <v>64</v>
      </c>
      <c r="P13" s="1" t="s">
        <v>64</v>
      </c>
      <c r="Q13" s="1" t="s">
        <v>64</v>
      </c>
      <c r="R13" s="1" t="s">
        <v>64</v>
      </c>
      <c r="S13" s="1" t="s">
        <v>64</v>
      </c>
      <c r="T13" s="19">
        <f t="shared" si="0"/>
        <v>1</v>
      </c>
      <c r="U13" s="3">
        <f t="shared" si="1"/>
        <v>1</v>
      </c>
      <c r="V13" s="5">
        <f t="shared" si="2"/>
        <v>9</v>
      </c>
      <c r="W13" s="5">
        <f t="shared" si="3"/>
        <v>1</v>
      </c>
      <c r="X13" s="7" t="str">
        <f t="shared" si="6"/>
        <v>--.-</v>
      </c>
      <c r="Y13" s="5">
        <f t="shared" si="5"/>
        <v>1</v>
      </c>
    </row>
    <row r="14" spans="1:25" x14ac:dyDescent="0.25">
      <c r="A14" s="1">
        <v>1991</v>
      </c>
      <c r="B14" s="19">
        <f>INT(YEARFRAC([0]!DOB,DATE(A14,6,30)))</f>
        <v>25</v>
      </c>
      <c r="C14" s="34" t="s">
        <v>78</v>
      </c>
      <c r="D14" s="34" t="s">
        <v>79</v>
      </c>
      <c r="E14" s="34" t="s">
        <v>80</v>
      </c>
      <c r="F14" s="25" t="s">
        <v>73</v>
      </c>
      <c r="G14" s="1">
        <v>1</v>
      </c>
      <c r="H14" s="1">
        <v>0</v>
      </c>
      <c r="I14" s="1">
        <v>0</v>
      </c>
      <c r="J14" s="8">
        <v>0.2</v>
      </c>
      <c r="K14" s="1">
        <v>0</v>
      </c>
      <c r="L14" s="1">
        <v>0</v>
      </c>
      <c r="M14" s="1">
        <v>0</v>
      </c>
      <c r="N14" s="1">
        <v>0</v>
      </c>
      <c r="O14" s="1" t="s">
        <v>64</v>
      </c>
      <c r="P14" s="1" t="s">
        <v>64</v>
      </c>
      <c r="Q14" s="1" t="s">
        <v>64</v>
      </c>
      <c r="R14" s="1" t="s">
        <v>64</v>
      </c>
      <c r="S14" s="1" t="s">
        <v>64</v>
      </c>
      <c r="T14" s="19">
        <f t="shared" si="0"/>
        <v>0</v>
      </c>
      <c r="U14" s="3" t="str">
        <f t="shared" si="1"/>
        <v>.---</v>
      </c>
      <c r="V14" s="5">
        <f t="shared" si="2"/>
        <v>0</v>
      </c>
      <c r="W14" s="5">
        <f t="shared" si="3"/>
        <v>0</v>
      </c>
      <c r="X14" s="7" t="str">
        <f t="shared" si="6"/>
        <v>--.-</v>
      </c>
      <c r="Y14" s="5">
        <f t="shared" si="5"/>
        <v>0.66666666666666663</v>
      </c>
    </row>
    <row r="15" spans="1:25" x14ac:dyDescent="0.25">
      <c r="A15" s="1">
        <v>1992</v>
      </c>
      <c r="B15" s="19">
        <f>INT(YEARFRAC([0]!DOB,DATE(A15,6,30)))</f>
        <v>26</v>
      </c>
      <c r="C15" s="34" t="s">
        <v>78</v>
      </c>
      <c r="D15" s="34" t="s">
        <v>79</v>
      </c>
      <c r="E15" s="34" t="s">
        <v>80</v>
      </c>
      <c r="F15" s="25" t="s">
        <v>5</v>
      </c>
      <c r="G15" s="1">
        <v>161</v>
      </c>
      <c r="H15" s="1">
        <v>157</v>
      </c>
      <c r="I15" s="1">
        <v>149</v>
      </c>
      <c r="J15" s="8">
        <v>1407.2</v>
      </c>
      <c r="K15" s="1">
        <v>344</v>
      </c>
      <c r="L15" s="1">
        <v>413</v>
      </c>
      <c r="M15" s="1">
        <v>12</v>
      </c>
      <c r="N15" s="1">
        <v>81</v>
      </c>
      <c r="O15" s="1" t="s">
        <v>64</v>
      </c>
      <c r="P15" s="1" t="s">
        <v>64</v>
      </c>
      <c r="Q15" s="1" t="s">
        <v>64</v>
      </c>
      <c r="R15" s="1" t="s">
        <v>64</v>
      </c>
      <c r="S15" s="1" t="s">
        <v>64</v>
      </c>
      <c r="T15" s="19">
        <f t="shared" si="0"/>
        <v>769</v>
      </c>
      <c r="U15" s="3">
        <f t="shared" si="1"/>
        <v>0.98439531859557872</v>
      </c>
      <c r="V15" s="5">
        <f t="shared" si="2"/>
        <v>4.839924224484963</v>
      </c>
      <c r="W15" s="5">
        <f t="shared" si="3"/>
        <v>4.7018633540372674</v>
      </c>
      <c r="X15" s="7" t="str">
        <f t="shared" si="6"/>
        <v>--.-</v>
      </c>
      <c r="Y15" s="5">
        <f t="shared" si="5"/>
        <v>1407.6666666666667</v>
      </c>
    </row>
    <row r="16" spans="1:25" x14ac:dyDescent="0.25">
      <c r="A16" s="1">
        <v>1993</v>
      </c>
      <c r="B16" s="19">
        <f>INT(YEARFRAC([0]!DOB,DATE(A16,6,30)))</f>
        <v>27</v>
      </c>
      <c r="C16" s="34" t="s">
        <v>78</v>
      </c>
      <c r="D16" s="34" t="s">
        <v>79</v>
      </c>
      <c r="E16" s="34" t="s">
        <v>80</v>
      </c>
      <c r="F16" s="25" t="s">
        <v>5</v>
      </c>
      <c r="G16" s="1">
        <v>155</v>
      </c>
      <c r="H16" s="1">
        <v>155</v>
      </c>
      <c r="I16" s="1">
        <v>142</v>
      </c>
      <c r="J16" s="8">
        <v>1352.2</v>
      </c>
      <c r="K16" s="1">
        <v>306</v>
      </c>
      <c r="L16" s="1">
        <v>447</v>
      </c>
      <c r="M16" s="1">
        <v>14</v>
      </c>
      <c r="N16" s="1">
        <v>90</v>
      </c>
      <c r="O16" s="1" t="s">
        <v>64</v>
      </c>
      <c r="P16" s="1" t="s">
        <v>64</v>
      </c>
      <c r="Q16" s="1" t="s">
        <v>64</v>
      </c>
      <c r="R16" s="1" t="s">
        <v>64</v>
      </c>
      <c r="S16" s="1" t="s">
        <v>64</v>
      </c>
      <c r="T16" s="19">
        <f t="shared" si="0"/>
        <v>767</v>
      </c>
      <c r="U16" s="3">
        <f t="shared" si="1"/>
        <v>0.98174706649282917</v>
      </c>
      <c r="V16" s="5">
        <f t="shared" si="2"/>
        <v>5.010103499260719</v>
      </c>
      <c r="W16" s="5">
        <f t="shared" si="3"/>
        <v>4.8580645161290326</v>
      </c>
      <c r="X16" s="7" t="str">
        <f t="shared" si="6"/>
        <v>--.-</v>
      </c>
      <c r="Y16" s="5">
        <f t="shared" si="5"/>
        <v>1352.6666666666667</v>
      </c>
    </row>
    <row r="17" spans="1:25" x14ac:dyDescent="0.25">
      <c r="A17" s="1">
        <v>1994</v>
      </c>
      <c r="B17" s="19">
        <f>INT(YEARFRAC([0]!DOB,DATE(A17,6,30)))</f>
        <v>28</v>
      </c>
      <c r="C17" s="34" t="s">
        <v>78</v>
      </c>
      <c r="D17" s="34" t="s">
        <v>79</v>
      </c>
      <c r="E17" s="34" t="s">
        <v>80</v>
      </c>
      <c r="F17" s="25" t="s">
        <v>5</v>
      </c>
      <c r="G17" s="1">
        <v>113</v>
      </c>
      <c r="H17" s="1">
        <v>112</v>
      </c>
      <c r="I17" s="1">
        <v>103</v>
      </c>
      <c r="J17" s="8">
        <v>979.2</v>
      </c>
      <c r="K17" s="1">
        <v>225</v>
      </c>
      <c r="L17" s="1">
        <v>338</v>
      </c>
      <c r="M17" s="1">
        <v>7</v>
      </c>
      <c r="N17" s="1">
        <v>63</v>
      </c>
      <c r="O17" s="1" t="s">
        <v>64</v>
      </c>
      <c r="P17" s="1" t="s">
        <v>64</v>
      </c>
      <c r="Q17" s="1" t="s">
        <v>64</v>
      </c>
      <c r="R17" s="1" t="s">
        <v>64</v>
      </c>
      <c r="S17" s="1" t="s">
        <v>64</v>
      </c>
      <c r="T17" s="19">
        <f t="shared" si="0"/>
        <v>570</v>
      </c>
      <c r="U17" s="3">
        <f t="shared" si="1"/>
        <v>0.987719298245614</v>
      </c>
      <c r="V17" s="5">
        <f t="shared" si="2"/>
        <v>5.172167403878869</v>
      </c>
      <c r="W17" s="5">
        <f t="shared" si="3"/>
        <v>4.9823008849557526</v>
      </c>
      <c r="X17" s="7" t="str">
        <f t="shared" si="6"/>
        <v>--.-</v>
      </c>
      <c r="Y17" s="5">
        <f t="shared" si="5"/>
        <v>979.66666666666686</v>
      </c>
    </row>
    <row r="18" spans="1:25" x14ac:dyDescent="0.25">
      <c r="A18" s="1">
        <v>1995</v>
      </c>
      <c r="B18" s="19">
        <f>INT(YEARFRAC([0]!DOB,DATE(A18,6,30)))</f>
        <v>29</v>
      </c>
      <c r="C18" s="34" t="s">
        <v>78</v>
      </c>
      <c r="D18" s="34" t="s">
        <v>79</v>
      </c>
      <c r="E18" s="34" t="s">
        <v>80</v>
      </c>
      <c r="F18" s="25" t="s">
        <v>5</v>
      </c>
      <c r="G18" s="1">
        <v>141</v>
      </c>
      <c r="H18" s="1">
        <v>140</v>
      </c>
      <c r="I18" s="1">
        <v>133</v>
      </c>
      <c r="J18" s="8">
        <v>1271.0999999999999</v>
      </c>
      <c r="K18" s="1">
        <v>299</v>
      </c>
      <c r="L18" s="1">
        <v>419</v>
      </c>
      <c r="M18" s="1">
        <v>10</v>
      </c>
      <c r="N18" s="1">
        <v>78</v>
      </c>
      <c r="O18" s="1" t="s">
        <v>64</v>
      </c>
      <c r="P18" s="1" t="s">
        <v>64</v>
      </c>
      <c r="Q18" s="1" t="s">
        <v>64</v>
      </c>
      <c r="R18" s="1" t="s">
        <v>64</v>
      </c>
      <c r="S18" s="1" t="s">
        <v>64</v>
      </c>
      <c r="T18" s="19">
        <f t="shared" si="0"/>
        <v>728</v>
      </c>
      <c r="U18" s="3">
        <f t="shared" si="1"/>
        <v>0.98626373626373631</v>
      </c>
      <c r="V18" s="5">
        <f t="shared" si="2"/>
        <v>5.0828526481384388</v>
      </c>
      <c r="W18" s="5">
        <f t="shared" si="3"/>
        <v>5.0921985815602833</v>
      </c>
      <c r="X18" s="7" t="str">
        <f t="shared" si="6"/>
        <v>--.-</v>
      </c>
      <c r="Y18" s="5">
        <f t="shared" si="5"/>
        <v>1271.333333333333</v>
      </c>
    </row>
    <row r="19" spans="1:25" x14ac:dyDescent="0.25">
      <c r="A19" s="1">
        <v>1996</v>
      </c>
      <c r="B19" s="19">
        <f>INT(YEARFRAC([0]!DOB,DATE(A19,6,30)))</f>
        <v>30</v>
      </c>
      <c r="C19" s="34" t="s">
        <v>78</v>
      </c>
      <c r="D19" s="34" t="s">
        <v>79</v>
      </c>
      <c r="E19" s="34" t="s">
        <v>80</v>
      </c>
      <c r="F19" s="25" t="s">
        <v>5</v>
      </c>
      <c r="G19" s="1">
        <v>162</v>
      </c>
      <c r="H19" s="1">
        <v>160</v>
      </c>
      <c r="I19" s="1">
        <v>148</v>
      </c>
      <c r="J19" s="8">
        <v>1409.1</v>
      </c>
      <c r="K19" s="1">
        <v>361</v>
      </c>
      <c r="L19" s="1">
        <v>440</v>
      </c>
      <c r="M19" s="1">
        <v>10</v>
      </c>
      <c r="N19" s="1">
        <v>76</v>
      </c>
      <c r="O19" s="1" t="s">
        <v>64</v>
      </c>
      <c r="P19" s="1" t="s">
        <v>64</v>
      </c>
      <c r="Q19" s="1" t="s">
        <v>64</v>
      </c>
      <c r="R19" s="1" t="s">
        <v>64</v>
      </c>
      <c r="S19" s="1" t="s">
        <v>64</v>
      </c>
      <c r="T19" s="19">
        <f t="shared" si="0"/>
        <v>811</v>
      </c>
      <c r="U19" s="3">
        <f t="shared" si="1"/>
        <v>0.98766954377311955</v>
      </c>
      <c r="V19" s="5">
        <f t="shared" si="2"/>
        <v>5.1151844843897836</v>
      </c>
      <c r="W19" s="5">
        <f t="shared" si="3"/>
        <v>4.9444444444444446</v>
      </c>
      <c r="X19" s="7" t="str">
        <f t="shared" si="6"/>
        <v>--.-</v>
      </c>
      <c r="Y19" s="5">
        <f t="shared" si="5"/>
        <v>1409.333333333333</v>
      </c>
    </row>
    <row r="20" spans="1:25" x14ac:dyDescent="0.25">
      <c r="A20" s="1">
        <v>1997</v>
      </c>
      <c r="B20" s="19">
        <f>INT(YEARFRAC([0]!DOB,DATE(A20,6,30)))</f>
        <v>31</v>
      </c>
      <c r="C20" s="34" t="s">
        <v>78</v>
      </c>
      <c r="D20" s="34" t="s">
        <v>79</v>
      </c>
      <c r="E20" s="34" t="s">
        <v>80</v>
      </c>
      <c r="F20" s="25" t="s">
        <v>5</v>
      </c>
      <c r="G20" s="1">
        <v>160</v>
      </c>
      <c r="H20" s="1">
        <v>155</v>
      </c>
      <c r="I20" s="1">
        <v>146</v>
      </c>
      <c r="J20" s="8">
        <v>1384.1</v>
      </c>
      <c r="K20" s="1">
        <v>341</v>
      </c>
      <c r="L20" s="1">
        <v>504</v>
      </c>
      <c r="M20" s="1">
        <v>18</v>
      </c>
      <c r="N20" s="1">
        <v>108</v>
      </c>
      <c r="O20" s="1" t="s">
        <v>64</v>
      </c>
      <c r="P20" s="1" t="s">
        <v>64</v>
      </c>
      <c r="Q20" s="1" t="s">
        <v>64</v>
      </c>
      <c r="R20" s="1" t="s">
        <v>64</v>
      </c>
      <c r="S20" s="1" t="s">
        <v>64</v>
      </c>
      <c r="T20" s="19">
        <f t="shared" si="0"/>
        <v>863</v>
      </c>
      <c r="U20" s="3">
        <f t="shared" si="1"/>
        <v>0.97914252607184238</v>
      </c>
      <c r="V20" s="5">
        <f t="shared" si="2"/>
        <v>5.4936190705514099</v>
      </c>
      <c r="W20" s="5">
        <f t="shared" si="3"/>
        <v>5.28125</v>
      </c>
      <c r="X20" s="7" t="str">
        <f t="shared" si="6"/>
        <v>--.-</v>
      </c>
      <c r="Y20" s="5">
        <f t="shared" si="5"/>
        <v>1384.333333333333</v>
      </c>
    </row>
    <row r="21" spans="1:25" x14ac:dyDescent="0.25">
      <c r="A21" s="1">
        <v>1998</v>
      </c>
      <c r="B21" s="19">
        <f>INT(YEARFRAC([0]!DOB,DATE(A21,6,30)))</f>
        <v>32</v>
      </c>
      <c r="C21" s="34" t="s">
        <v>78</v>
      </c>
      <c r="D21" s="34" t="s">
        <v>79</v>
      </c>
      <c r="E21" s="34" t="s">
        <v>80</v>
      </c>
      <c r="F21" s="25" t="s">
        <v>5</v>
      </c>
      <c r="G21" s="1">
        <v>159</v>
      </c>
      <c r="H21" s="1">
        <v>154</v>
      </c>
      <c r="I21" s="1">
        <v>141</v>
      </c>
      <c r="J21" s="8">
        <v>1368.1</v>
      </c>
      <c r="K21" s="1">
        <v>318</v>
      </c>
      <c r="L21" s="1">
        <v>431</v>
      </c>
      <c r="M21" s="1">
        <v>15</v>
      </c>
      <c r="N21" s="1">
        <v>92</v>
      </c>
      <c r="O21" s="1" t="s">
        <v>64</v>
      </c>
      <c r="P21" s="1" t="s">
        <v>64</v>
      </c>
      <c r="Q21" s="1" t="s">
        <v>64</v>
      </c>
      <c r="R21" s="1" t="s">
        <v>64</v>
      </c>
      <c r="S21" s="1" t="s">
        <v>64</v>
      </c>
      <c r="T21" s="19">
        <f t="shared" ref="T21:T22" si="7">K21+L21+M21</f>
        <v>764</v>
      </c>
      <c r="U21" s="3">
        <f t="shared" ref="U21:U22" si="8">IF(T21=0,".---",(K21+L21)/T21)</f>
        <v>0.98036649214659688</v>
      </c>
      <c r="V21" s="5">
        <f t="shared" ref="V21:V22" si="9">IF(Y21=0,"-.--",9*(K21+L21)/Y21)</f>
        <v>4.9264311814859933</v>
      </c>
      <c r="W21" s="5">
        <f t="shared" ref="W21:W22" si="10">IF(G21=0,"-.--",(K21+L21)/G21)</f>
        <v>4.7106918238993707</v>
      </c>
      <c r="X21" s="7" t="str">
        <f t="shared" ref="X21:X22" si="11">IF(AND(ISNUMBER(Q21),ISNUMBER(R21)),IF((Q21+R21)=0,"--.-",100*R21/(Q21+R21)),"--.-")</f>
        <v>--.-</v>
      </c>
      <c r="Y21" s="5">
        <f t="shared" ref="Y21:Y22" si="12">INT(J21)+10*(J21-INT(J21))/3</f>
        <v>1368.333333333333</v>
      </c>
    </row>
    <row r="22" spans="1:25" x14ac:dyDescent="0.25">
      <c r="A22" s="1">
        <v>1999</v>
      </c>
      <c r="B22" s="19">
        <f>INT(YEARFRAC([0]!DOB,DATE(A22,6,30)))</f>
        <v>33</v>
      </c>
      <c r="C22" s="34" t="s">
        <v>78</v>
      </c>
      <c r="D22" s="34" t="s">
        <v>79</v>
      </c>
      <c r="E22" s="34" t="s">
        <v>80</v>
      </c>
      <c r="F22" s="25" t="s">
        <v>5</v>
      </c>
      <c r="G22" s="1">
        <v>155</v>
      </c>
      <c r="H22" s="1">
        <v>153</v>
      </c>
      <c r="I22" s="1">
        <v>138</v>
      </c>
      <c r="J22" s="8">
        <v>1351.1</v>
      </c>
      <c r="K22" s="1">
        <v>359</v>
      </c>
      <c r="L22" s="1">
        <v>430</v>
      </c>
      <c r="M22" s="1">
        <v>12</v>
      </c>
      <c r="N22" s="1">
        <v>117</v>
      </c>
      <c r="O22" s="1" t="s">
        <v>64</v>
      </c>
      <c r="P22" s="1" t="s">
        <v>64</v>
      </c>
      <c r="Q22" s="1" t="s">
        <v>64</v>
      </c>
      <c r="R22" s="1" t="s">
        <v>64</v>
      </c>
      <c r="S22" s="1" t="s">
        <v>64</v>
      </c>
      <c r="T22" s="19">
        <f t="shared" si="7"/>
        <v>801</v>
      </c>
      <c r="U22" s="3">
        <f t="shared" si="8"/>
        <v>0.98501872659176026</v>
      </c>
      <c r="V22" s="5">
        <f t="shared" si="9"/>
        <v>5.2548100641341895</v>
      </c>
      <c r="W22" s="5">
        <f t="shared" si="10"/>
        <v>5.0903225806451609</v>
      </c>
      <c r="X22" s="7" t="str">
        <f t="shared" si="11"/>
        <v>--.-</v>
      </c>
      <c r="Y22" s="5">
        <f t="shared" si="12"/>
        <v>1351.333333333333</v>
      </c>
    </row>
    <row r="23" spans="1:25" x14ac:dyDescent="0.25">
      <c r="A23" s="1">
        <v>1999</v>
      </c>
      <c r="B23" s="19">
        <f>INT(YEARFRAC([0]!DOB,DATE(A23,6,30)))</f>
        <v>33</v>
      </c>
      <c r="C23" s="34" t="s">
        <v>78</v>
      </c>
      <c r="D23" s="34" t="s">
        <v>79</v>
      </c>
      <c r="E23" s="34" t="s">
        <v>80</v>
      </c>
      <c r="F23" s="25" t="s">
        <v>73</v>
      </c>
      <c r="G23" s="1">
        <v>6</v>
      </c>
      <c r="H23" s="1">
        <v>3</v>
      </c>
      <c r="I23" s="1">
        <v>2</v>
      </c>
      <c r="J23" s="8">
        <v>25.1</v>
      </c>
      <c r="K23" s="1">
        <v>6</v>
      </c>
      <c r="L23" s="1">
        <v>1</v>
      </c>
      <c r="M23" s="1">
        <v>0</v>
      </c>
      <c r="N23" s="1">
        <v>0</v>
      </c>
      <c r="O23" s="1" t="s">
        <v>64</v>
      </c>
      <c r="P23" s="1" t="s">
        <v>64</v>
      </c>
      <c r="Q23" s="1" t="s">
        <v>64</v>
      </c>
      <c r="R23" s="1" t="s">
        <v>64</v>
      </c>
      <c r="S23" s="1" t="s">
        <v>64</v>
      </c>
      <c r="T23" s="19">
        <f t="shared" ref="T23:T24" si="13">K23+L23+M23</f>
        <v>7</v>
      </c>
      <c r="U23" s="3">
        <f t="shared" ref="U23:U24" si="14">IF(T23=0,".---",(K23+L23)/T23)</f>
        <v>1</v>
      </c>
      <c r="V23" s="5">
        <f t="shared" ref="V23:V24" si="15">IF(Y23=0,"-.--",9*(K23+L23)/Y23)</f>
        <v>2.4868421052631575</v>
      </c>
      <c r="W23" s="5">
        <f t="shared" ref="W23:W24" si="16">IF(G23=0,"-.--",(K23+L23)/G23)</f>
        <v>1.1666666666666667</v>
      </c>
      <c r="X23" s="7" t="str">
        <f t="shared" ref="X23:X24" si="17">IF(AND(ISNUMBER(Q23),ISNUMBER(R23)),IF((Q23+R23)=0,"--.-",100*R23/(Q23+R23)),"--.-")</f>
        <v>--.-</v>
      </c>
      <c r="Y23" s="5">
        <f t="shared" ref="Y23:Y24" si="18">INT(J23)+10*(J23-INT(J23))/3</f>
        <v>25.333333333333339</v>
      </c>
    </row>
    <row r="24" spans="1:25" x14ac:dyDescent="0.25">
      <c r="A24" s="1">
        <v>2000</v>
      </c>
      <c r="B24" s="19">
        <f>INT(YEARFRAC([0]!DOB,DATE(A24,6,30)))</f>
        <v>34</v>
      </c>
      <c r="C24" s="34" t="s">
        <v>78</v>
      </c>
      <c r="D24" s="34" t="s">
        <v>79</v>
      </c>
      <c r="E24" s="34" t="s">
        <v>80</v>
      </c>
      <c r="F24" s="25" t="s">
        <v>5</v>
      </c>
      <c r="G24" s="1">
        <v>100</v>
      </c>
      <c r="H24" s="1">
        <v>99</v>
      </c>
      <c r="I24" s="1">
        <v>88</v>
      </c>
      <c r="J24" s="8">
        <v>852.2</v>
      </c>
      <c r="K24" s="1">
        <v>181</v>
      </c>
      <c r="L24" s="1">
        <v>280</v>
      </c>
      <c r="M24" s="1">
        <v>6</v>
      </c>
      <c r="N24" s="1">
        <v>57</v>
      </c>
      <c r="O24" s="1" t="s">
        <v>64</v>
      </c>
      <c r="P24" s="1" t="s">
        <v>64</v>
      </c>
      <c r="Q24" s="1" t="s">
        <v>64</v>
      </c>
      <c r="R24" s="1" t="s">
        <v>64</v>
      </c>
      <c r="S24" s="1" t="s">
        <v>64</v>
      </c>
      <c r="T24" s="19">
        <f t="shared" si="13"/>
        <v>467</v>
      </c>
      <c r="U24" s="3">
        <f t="shared" si="14"/>
        <v>0.98715203426124198</v>
      </c>
      <c r="V24" s="5">
        <f t="shared" si="15"/>
        <v>4.8659108678655185</v>
      </c>
      <c r="W24" s="5">
        <f t="shared" si="16"/>
        <v>4.6100000000000003</v>
      </c>
      <c r="X24" s="7" t="str">
        <f t="shared" si="17"/>
        <v>--.-</v>
      </c>
      <c r="Y24" s="5">
        <f t="shared" si="18"/>
        <v>852.66666666666686</v>
      </c>
    </row>
    <row r="25" spans="1:25" x14ac:dyDescent="0.25">
      <c r="A25" s="1">
        <v>2001</v>
      </c>
      <c r="B25" s="19">
        <f>INT(YEARFRAC([0]!DOB,DATE(A25,6,30)))</f>
        <v>35</v>
      </c>
      <c r="C25" s="34" t="s">
        <v>78</v>
      </c>
      <c r="D25" s="34" t="s">
        <v>79</v>
      </c>
      <c r="E25" s="34" t="s">
        <v>80</v>
      </c>
      <c r="F25" s="25" t="s">
        <v>5</v>
      </c>
      <c r="G25" s="1">
        <v>154</v>
      </c>
      <c r="H25" s="1">
        <v>152</v>
      </c>
      <c r="I25" s="1">
        <v>139</v>
      </c>
      <c r="J25" s="8">
        <v>1344.2</v>
      </c>
      <c r="K25" s="1">
        <v>280</v>
      </c>
      <c r="L25" s="1">
        <v>389</v>
      </c>
      <c r="M25" s="1">
        <v>11</v>
      </c>
      <c r="N25" s="1">
        <v>86</v>
      </c>
      <c r="O25" s="1" t="s">
        <v>64</v>
      </c>
      <c r="P25" s="1" t="s">
        <v>64</v>
      </c>
      <c r="Q25" s="1" t="s">
        <v>64</v>
      </c>
      <c r="R25" s="1" t="s">
        <v>64</v>
      </c>
      <c r="S25" s="1" t="s">
        <v>64</v>
      </c>
      <c r="T25" s="19">
        <f t="shared" ref="T25:T26" si="19">K25+L25+M25</f>
        <v>680</v>
      </c>
      <c r="U25" s="3">
        <f t="shared" ref="U25:U26" si="20">IF(T25=0,".---",(K25+L25)/T25)</f>
        <v>0.98382352941176465</v>
      </c>
      <c r="V25" s="5">
        <f t="shared" ref="V25:V26" si="21">IF(Y25=0,"-.--",9*(K25+L25)/Y25)</f>
        <v>4.4776896380763507</v>
      </c>
      <c r="W25" s="5">
        <f t="shared" ref="W25:W26" si="22">IF(G25=0,"-.--",(K25+L25)/G25)</f>
        <v>4.3441558441558445</v>
      </c>
      <c r="X25" s="7" t="str">
        <f t="shared" ref="X25:X26" si="23">IF(AND(ISNUMBER(Q25),ISNUMBER(R25)),IF((Q25+R25)=0,"--.-",100*R25/(Q25+R25)),"--.-")</f>
        <v>--.-</v>
      </c>
      <c r="Y25" s="5">
        <f t="shared" ref="Y25:Y26" si="24">INT(J25)+10*(J25-INT(J25))/3</f>
        <v>1344.6666666666667</v>
      </c>
    </row>
    <row r="26" spans="1:25" x14ac:dyDescent="0.25">
      <c r="A26" s="1">
        <v>2002</v>
      </c>
      <c r="B26" s="19">
        <f>INT(YEARFRAC([0]!DOB,DATE(A26,6,30)))</f>
        <v>36</v>
      </c>
      <c r="C26" s="34" t="s">
        <v>78</v>
      </c>
      <c r="D26" s="34" t="s">
        <v>79</v>
      </c>
      <c r="E26" s="34" t="s">
        <v>80</v>
      </c>
      <c r="F26" s="25" t="s">
        <v>5</v>
      </c>
      <c r="G26" s="1">
        <v>142</v>
      </c>
      <c r="H26" s="1">
        <v>140</v>
      </c>
      <c r="I26" s="1">
        <v>135</v>
      </c>
      <c r="J26" s="8">
        <v>1236.2</v>
      </c>
      <c r="K26" s="1">
        <v>313</v>
      </c>
      <c r="L26" s="1">
        <v>352</v>
      </c>
      <c r="M26" s="1">
        <v>8</v>
      </c>
      <c r="N26" s="1">
        <v>88</v>
      </c>
      <c r="O26" s="1" t="s">
        <v>64</v>
      </c>
      <c r="P26" s="1" t="s">
        <v>64</v>
      </c>
      <c r="Q26" s="1" t="s">
        <v>64</v>
      </c>
      <c r="R26" s="1" t="s">
        <v>64</v>
      </c>
      <c r="S26" s="1" t="s">
        <v>64</v>
      </c>
      <c r="T26" s="19">
        <f t="shared" si="19"/>
        <v>673</v>
      </c>
      <c r="U26" s="3">
        <f t="shared" si="20"/>
        <v>0.98811292719167909</v>
      </c>
      <c r="V26" s="5">
        <f t="shared" si="21"/>
        <v>4.8396226415094334</v>
      </c>
      <c r="W26" s="5">
        <f t="shared" si="22"/>
        <v>4.683098591549296</v>
      </c>
      <c r="X26" s="7" t="str">
        <f t="shared" si="23"/>
        <v>--.-</v>
      </c>
      <c r="Y26" s="5">
        <f t="shared" si="24"/>
        <v>1236.6666666666667</v>
      </c>
    </row>
    <row r="27" spans="1:25" x14ac:dyDescent="0.25">
      <c r="A27" s="1">
        <v>2002</v>
      </c>
      <c r="B27" s="19">
        <f>INT(YEARFRAC([0]!DOB,DATE(A27,6,30)))</f>
        <v>36</v>
      </c>
      <c r="C27" s="34" t="s">
        <v>78</v>
      </c>
      <c r="D27" s="34" t="s">
        <v>79</v>
      </c>
      <c r="E27" s="34" t="s">
        <v>80</v>
      </c>
      <c r="F27" s="25" t="s">
        <v>73</v>
      </c>
      <c r="G27" s="1">
        <v>1</v>
      </c>
      <c r="H27" s="1">
        <v>1</v>
      </c>
      <c r="I27" s="1">
        <v>1</v>
      </c>
      <c r="J27" s="8">
        <v>9</v>
      </c>
      <c r="K27" s="1">
        <v>1</v>
      </c>
      <c r="L27" s="1">
        <v>0</v>
      </c>
      <c r="M27" s="1">
        <v>0</v>
      </c>
      <c r="N27" s="1">
        <v>0</v>
      </c>
      <c r="O27" s="1" t="s">
        <v>64</v>
      </c>
      <c r="P27" s="1" t="s">
        <v>64</v>
      </c>
      <c r="Q27" s="1" t="s">
        <v>64</v>
      </c>
      <c r="R27" s="1" t="s">
        <v>64</v>
      </c>
      <c r="S27" s="1" t="s">
        <v>64</v>
      </c>
      <c r="T27" s="19">
        <f t="shared" ref="T27" si="25">K27+L27+M27</f>
        <v>1</v>
      </c>
      <c r="U27" s="3">
        <f t="shared" ref="U27" si="26">IF(T27=0,".---",(K27+L27)/T27)</f>
        <v>1</v>
      </c>
      <c r="V27" s="5">
        <f t="shared" ref="V27" si="27">IF(Y27=0,"-.--",9*(K27+L27)/Y27)</f>
        <v>1</v>
      </c>
      <c r="W27" s="5">
        <f t="shared" ref="W27" si="28">IF(G27=0,"-.--",(K27+L27)/G27)</f>
        <v>1</v>
      </c>
      <c r="X27" s="7" t="str">
        <f t="shared" ref="X27" si="29">IF(AND(ISNUMBER(Q27),ISNUMBER(R27)),IF((Q27+R27)=0,"--.-",100*R27/(Q27+R27)),"--.-")</f>
        <v>--.-</v>
      </c>
      <c r="Y27" s="5">
        <f t="shared" ref="Y27" si="30">INT(J27)+10*(J27-INT(J27))/3</f>
        <v>9</v>
      </c>
    </row>
    <row r="28" spans="1:25" x14ac:dyDescent="0.25">
      <c r="A28" s="1">
        <v>2003</v>
      </c>
      <c r="B28" s="19">
        <f>INT(YEARFRAC([0]!DOB,DATE(A28,6,30)))</f>
        <v>37</v>
      </c>
      <c r="C28" s="34" t="s">
        <v>78</v>
      </c>
      <c r="D28" s="34" t="s">
        <v>79</v>
      </c>
      <c r="E28" s="34" t="s">
        <v>80</v>
      </c>
      <c r="F28" s="25" t="s">
        <v>72</v>
      </c>
      <c r="G28" s="1">
        <v>150</v>
      </c>
      <c r="H28" s="1">
        <v>150</v>
      </c>
      <c r="I28" s="1">
        <v>136</v>
      </c>
      <c r="J28" s="8">
        <v>1313</v>
      </c>
      <c r="K28" s="1">
        <v>326</v>
      </c>
      <c r="L28" s="1">
        <v>9</v>
      </c>
      <c r="M28" s="1">
        <v>1</v>
      </c>
      <c r="N28" s="1">
        <v>1</v>
      </c>
      <c r="O28" s="1" t="s">
        <v>64</v>
      </c>
      <c r="P28" s="1" t="s">
        <v>64</v>
      </c>
      <c r="Q28" s="1" t="s">
        <v>64</v>
      </c>
      <c r="R28" s="1" t="s">
        <v>64</v>
      </c>
      <c r="S28" s="1" t="s">
        <v>64</v>
      </c>
      <c r="T28" s="19">
        <f t="shared" ref="T28" si="31">K28+L28+M28</f>
        <v>336</v>
      </c>
      <c r="U28" s="3">
        <f t="shared" ref="U28" si="32">IF(T28=0,".---",(K28+L28)/T28)</f>
        <v>0.99702380952380953</v>
      </c>
      <c r="V28" s="5">
        <f t="shared" ref="V28" si="33">IF(Y28=0,"-.--",9*(K28+L28)/Y28)</f>
        <v>2.2962680883472961</v>
      </c>
      <c r="W28" s="5">
        <f t="shared" ref="W28" si="34">IF(G28=0,"-.--",(K28+L28)/G28)</f>
        <v>2.2333333333333334</v>
      </c>
      <c r="X28" s="7" t="str">
        <f t="shared" ref="X28" si="35">IF(AND(ISNUMBER(Q28),ISNUMBER(R28)),IF((Q28+R28)=0,"--.-",100*R28/(Q28+R28)),"--.-")</f>
        <v>--.-</v>
      </c>
      <c r="Y28" s="5">
        <f t="shared" ref="Y28" si="36">INT(J28)+10*(J28-INT(J28))/3</f>
        <v>1313</v>
      </c>
    </row>
    <row r="29" spans="1:25" x14ac:dyDescent="0.25">
      <c r="A29" s="1">
        <v>2004</v>
      </c>
      <c r="B29" s="19">
        <f>INT(YEARFRAC([0]!DOB,DATE(A29,6,30)))</f>
        <v>38</v>
      </c>
      <c r="C29" s="34" t="s">
        <v>78</v>
      </c>
      <c r="D29" s="34" t="s">
        <v>79</v>
      </c>
      <c r="E29" s="34" t="s">
        <v>80</v>
      </c>
      <c r="F29" s="25" t="s">
        <v>73</v>
      </c>
      <c r="G29" s="1">
        <v>83</v>
      </c>
      <c r="H29" s="1">
        <v>83</v>
      </c>
      <c r="I29" s="1">
        <v>39</v>
      </c>
      <c r="J29" s="8">
        <v>654.1</v>
      </c>
      <c r="K29" s="1">
        <v>116</v>
      </c>
      <c r="L29" s="1">
        <v>3</v>
      </c>
      <c r="M29" s="1">
        <v>9</v>
      </c>
      <c r="N29" s="1">
        <v>0</v>
      </c>
      <c r="O29" s="1" t="s">
        <v>64</v>
      </c>
      <c r="P29" s="1" t="s">
        <v>64</v>
      </c>
      <c r="Q29" s="1" t="s">
        <v>64</v>
      </c>
      <c r="R29" s="1" t="s">
        <v>64</v>
      </c>
      <c r="S29" s="1" t="s">
        <v>64</v>
      </c>
      <c r="T29" s="19">
        <f t="shared" ref="T29" si="37">K29+L29+M29</f>
        <v>128</v>
      </c>
      <c r="U29" s="3">
        <f t="shared" ref="U29" si="38">IF(T29=0,".---",(K29+L29)/T29)</f>
        <v>0.9296875</v>
      </c>
      <c r="V29" s="5">
        <f t="shared" ref="V29" si="39">IF(Y29=0,"-.--",9*(K29+L29)/Y29)</f>
        <v>1.6367804381049413</v>
      </c>
      <c r="W29" s="5">
        <f t="shared" ref="W29" si="40">IF(G29=0,"-.--",(K29+L29)/G29)</f>
        <v>1.4337349397590362</v>
      </c>
      <c r="X29" s="7" t="str">
        <f t="shared" ref="X29" si="41">IF(AND(ISNUMBER(Q29),ISNUMBER(R29)),IF((Q29+R29)=0,"--.-",100*R29/(Q29+R29)),"--.-")</f>
        <v>--.-</v>
      </c>
      <c r="Y29" s="5">
        <f t="shared" ref="Y29" si="42">INT(J29)+10*(J29-INT(J29))/3</f>
        <v>654.33333333333337</v>
      </c>
    </row>
    <row r="30" spans="1:25" x14ac:dyDescent="0.25">
      <c r="A30" s="1">
        <v>2004</v>
      </c>
      <c r="B30" s="19">
        <f>INT(YEARFRAC([0]!DOB,DATE(A30,6,30)))</f>
        <v>38</v>
      </c>
      <c r="C30" s="34" t="s">
        <v>78</v>
      </c>
      <c r="D30" s="34" t="s">
        <v>79</v>
      </c>
      <c r="E30" s="34" t="s">
        <v>80</v>
      </c>
      <c r="F30" s="25" t="s">
        <v>72</v>
      </c>
      <c r="G30" s="1">
        <v>66</v>
      </c>
      <c r="H30" s="1">
        <v>66</v>
      </c>
      <c r="I30" s="1">
        <v>55</v>
      </c>
      <c r="J30" s="8">
        <v>570.20000000000005</v>
      </c>
      <c r="K30" s="1">
        <v>134</v>
      </c>
      <c r="L30" s="1">
        <v>1</v>
      </c>
      <c r="M30" s="1">
        <v>0</v>
      </c>
      <c r="N30" s="1">
        <v>0</v>
      </c>
      <c r="O30" s="1" t="s">
        <v>64</v>
      </c>
      <c r="P30" s="1" t="s">
        <v>64</v>
      </c>
      <c r="Q30" s="1" t="s">
        <v>64</v>
      </c>
      <c r="R30" s="1" t="s">
        <v>64</v>
      </c>
      <c r="S30" s="1" t="s">
        <v>64</v>
      </c>
      <c r="T30" s="19">
        <f t="shared" ref="T30" si="43">K30+L30+M30</f>
        <v>135</v>
      </c>
      <c r="U30" s="3">
        <f t="shared" ref="U30" si="44">IF(T30=0,".---",(K30+L30)/T30)</f>
        <v>1</v>
      </c>
      <c r="V30" s="5">
        <f t="shared" ref="V30" si="45">IF(Y30=0,"-.--",9*(K30+L30)/Y30)</f>
        <v>2.1290887850467284</v>
      </c>
      <c r="W30" s="5">
        <f t="shared" ref="W30" si="46">IF(G30=0,"-.--",(K30+L30)/G30)</f>
        <v>2.0454545454545454</v>
      </c>
      <c r="X30" s="7" t="str">
        <f t="shared" ref="X30" si="47">IF(AND(ISNUMBER(Q30),ISNUMBER(R30)),IF((Q30+R30)=0,"--.-",100*R30/(Q30+R30)),"--.-")</f>
        <v>--.-</v>
      </c>
      <c r="Y30" s="5">
        <f t="shared" ref="Y30" si="48">INT(J30)+10*(J30-INT(J30))/3</f>
        <v>570.66666666666686</v>
      </c>
    </row>
    <row r="31" spans="1:25" x14ac:dyDescent="0.25">
      <c r="A31" s="1">
        <v>2005</v>
      </c>
      <c r="B31" s="19">
        <f>INT(YEARFRAC([0]!DOB,DATE(A31,6,30)))</f>
        <v>39</v>
      </c>
      <c r="C31" s="34" t="s">
        <v>78</v>
      </c>
      <c r="D31" s="34" t="s">
        <v>79</v>
      </c>
      <c r="E31" s="34" t="s">
        <v>80</v>
      </c>
      <c r="F31" s="25" t="s">
        <v>5</v>
      </c>
      <c r="G31" s="1">
        <v>141</v>
      </c>
      <c r="H31" s="1">
        <v>141</v>
      </c>
      <c r="I31" s="1">
        <v>97</v>
      </c>
      <c r="J31" s="8">
        <v>1172.0999999999999</v>
      </c>
      <c r="K31" s="1">
        <v>250</v>
      </c>
      <c r="L31" s="1">
        <v>396</v>
      </c>
      <c r="M31" s="1">
        <v>16</v>
      </c>
      <c r="N31" s="1">
        <v>82</v>
      </c>
      <c r="O31" s="1" t="s">
        <v>64</v>
      </c>
      <c r="P31" s="1" t="s">
        <v>64</v>
      </c>
      <c r="Q31" s="1" t="s">
        <v>64</v>
      </c>
      <c r="R31" s="1" t="s">
        <v>64</v>
      </c>
      <c r="S31" s="1" t="s">
        <v>64</v>
      </c>
      <c r="T31" s="19">
        <f t="shared" ref="T31:T33" si="49">K31+L31+M31</f>
        <v>662</v>
      </c>
      <c r="U31" s="3">
        <f t="shared" ref="U31:U33" si="50">IF(T31=0,".---",(K31+L31)/T31)</f>
        <v>0.97583081570996977</v>
      </c>
      <c r="V31" s="5">
        <f t="shared" ref="V31:V33" si="51">IF(Y31=0,"-.--",9*(K31+L31)/Y31)</f>
        <v>4.9593403468865525</v>
      </c>
      <c r="W31" s="5">
        <f t="shared" ref="W31:W33" si="52">IF(G31=0,"-.--",(K31+L31)/G31)</f>
        <v>4.581560283687943</v>
      </c>
      <c r="X31" s="7" t="str">
        <f t="shared" ref="X31:X33" si="53">IF(AND(ISNUMBER(Q31),ISNUMBER(R31)),IF((Q31+R31)=0,"--.-",100*R31/(Q31+R31)),"--.-")</f>
        <v>--.-</v>
      </c>
      <c r="Y31" s="5">
        <f t="shared" ref="Y31:Y33" si="54">INT(J31)+10*(J31-INT(J31))/3</f>
        <v>1172.333333333333</v>
      </c>
    </row>
    <row r="32" spans="1:25" x14ac:dyDescent="0.25">
      <c r="A32" s="1">
        <v>2006</v>
      </c>
      <c r="B32" s="19">
        <f>INT(YEARFRAC([0]!DOB,DATE(A32,6,30)))</f>
        <v>40</v>
      </c>
      <c r="C32" s="34" t="s">
        <v>78</v>
      </c>
      <c r="D32" s="34" t="s">
        <v>79</v>
      </c>
      <c r="E32" s="34" t="s">
        <v>80</v>
      </c>
      <c r="F32" s="25" t="s">
        <v>5</v>
      </c>
      <c r="G32" s="1">
        <v>129</v>
      </c>
      <c r="H32" s="1">
        <v>127</v>
      </c>
      <c r="I32" s="1">
        <v>69</v>
      </c>
      <c r="J32" s="8">
        <v>1062</v>
      </c>
      <c r="K32" s="1">
        <v>219</v>
      </c>
      <c r="L32" s="1">
        <v>334</v>
      </c>
      <c r="M32" s="1">
        <v>6</v>
      </c>
      <c r="N32" s="1">
        <v>80</v>
      </c>
      <c r="O32" s="1" t="s">
        <v>64</v>
      </c>
      <c r="P32" s="1" t="s">
        <v>64</v>
      </c>
      <c r="Q32" s="1" t="s">
        <v>64</v>
      </c>
      <c r="R32" s="1" t="s">
        <v>64</v>
      </c>
      <c r="S32" s="1" t="s">
        <v>64</v>
      </c>
      <c r="T32" s="19">
        <f t="shared" si="49"/>
        <v>559</v>
      </c>
      <c r="U32" s="3">
        <f t="shared" si="50"/>
        <v>0.98926654740608233</v>
      </c>
      <c r="V32" s="5">
        <f t="shared" si="51"/>
        <v>4.6864406779661021</v>
      </c>
      <c r="W32" s="5">
        <f t="shared" si="52"/>
        <v>4.2868217054263562</v>
      </c>
      <c r="X32" s="7" t="str">
        <f t="shared" si="53"/>
        <v>--.-</v>
      </c>
      <c r="Y32" s="5">
        <f t="shared" si="54"/>
        <v>1062</v>
      </c>
    </row>
    <row r="33" spans="1:25" x14ac:dyDescent="0.25">
      <c r="A33" s="1">
        <v>2007</v>
      </c>
      <c r="B33" s="19">
        <f>INT(YEARFRAC([0]!DOB,DATE(A33,6,30)))</f>
        <v>41</v>
      </c>
      <c r="C33" s="34" t="s">
        <v>78</v>
      </c>
      <c r="D33" s="34" t="s">
        <v>79</v>
      </c>
      <c r="E33" s="34" t="s">
        <v>80</v>
      </c>
      <c r="F33" s="25" t="s">
        <v>5</v>
      </c>
      <c r="G33" s="1">
        <v>114</v>
      </c>
      <c r="H33" s="1">
        <v>111</v>
      </c>
      <c r="I33" s="1">
        <v>61</v>
      </c>
      <c r="J33" s="8">
        <v>936.2</v>
      </c>
      <c r="K33" s="1">
        <v>191</v>
      </c>
      <c r="L33" s="1">
        <v>267</v>
      </c>
      <c r="M33" s="1">
        <v>10</v>
      </c>
      <c r="N33" s="1">
        <v>54</v>
      </c>
      <c r="O33" s="1" t="s">
        <v>64</v>
      </c>
      <c r="P33" s="1" t="s">
        <v>64</v>
      </c>
      <c r="Q33" s="1" t="s">
        <v>64</v>
      </c>
      <c r="R33" s="1" t="s">
        <v>64</v>
      </c>
      <c r="S33" s="1" t="s">
        <v>64</v>
      </c>
      <c r="T33" s="19">
        <f t="shared" si="49"/>
        <v>468</v>
      </c>
      <c r="U33" s="3">
        <f t="shared" si="50"/>
        <v>0.9786324786324786</v>
      </c>
      <c r="V33" s="5">
        <f t="shared" si="51"/>
        <v>4.4007117437722414</v>
      </c>
      <c r="W33" s="5">
        <f t="shared" si="52"/>
        <v>4.0175438596491224</v>
      </c>
      <c r="X33" s="7" t="str">
        <f t="shared" si="53"/>
        <v>--.-</v>
      </c>
      <c r="Y33" s="5">
        <f t="shared" si="54"/>
        <v>936.66666666666686</v>
      </c>
    </row>
    <row r="34" spans="1:25" x14ac:dyDescent="0.25">
      <c r="A34" s="1">
        <v>2007</v>
      </c>
      <c r="B34" s="19">
        <f>INT(YEARFRAC([0]!DOB,DATE(A34,6,30)))</f>
        <v>41</v>
      </c>
      <c r="C34" s="34" t="s">
        <v>78</v>
      </c>
      <c r="D34" s="34" t="s">
        <v>79</v>
      </c>
      <c r="E34" s="34" t="s">
        <v>80</v>
      </c>
      <c r="F34" s="23" t="s">
        <v>71</v>
      </c>
      <c r="G34" s="1">
        <v>1</v>
      </c>
      <c r="H34" s="1">
        <v>1</v>
      </c>
      <c r="I34" s="1">
        <v>0</v>
      </c>
      <c r="J34" s="8">
        <v>2</v>
      </c>
      <c r="K34" s="1">
        <v>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9">
        <f t="shared" si="0"/>
        <v>1</v>
      </c>
      <c r="U34" s="3">
        <f t="shared" si="1"/>
        <v>1</v>
      </c>
      <c r="V34" s="5">
        <f t="shared" si="2"/>
        <v>4.5</v>
      </c>
      <c r="W34" s="5">
        <f t="shared" si="3"/>
        <v>1</v>
      </c>
      <c r="X34" s="7" t="str">
        <f t="shared" si="6"/>
        <v>--.-</v>
      </c>
      <c r="Y34" s="5">
        <f t="shared" si="5"/>
        <v>2</v>
      </c>
    </row>
    <row r="35" spans="1:25" s="18" customFormat="1" x14ac:dyDescent="0.25">
      <c r="A35" s="18">
        <f>COUNTIF(F$3:F$34,F35)</f>
        <v>15</v>
      </c>
      <c r="C35" s="34" t="s">
        <v>78</v>
      </c>
      <c r="D35" s="34" t="s">
        <v>79</v>
      </c>
      <c r="E35" s="34" t="s">
        <v>80</v>
      </c>
      <c r="F35" s="22" t="s">
        <v>5</v>
      </c>
      <c r="G35" s="18">
        <f>SUMIF($F$3:$F$34,$F35,G$3:G$34)</f>
        <v>1989</v>
      </c>
      <c r="H35" s="18">
        <f>SUMIF($F$3:$F$34,$F35,H$3:H$34)</f>
        <v>1959</v>
      </c>
      <c r="I35" s="18">
        <f>SUMIF($F$3:$F$34,$F35,I$3:I$34)</f>
        <v>1691</v>
      </c>
      <c r="J35" s="21">
        <f>INT(Y35)+3*(Y35-INT(Y35))/10</f>
        <v>17154.2</v>
      </c>
      <c r="K35" s="18">
        <f>SUMIF($F$3:$F$34,$F35,K$3:K$34)</f>
        <v>3992</v>
      </c>
      <c r="L35" s="18">
        <f>SUMIF($F$3:$F$34,$F35,L$3:L$34)</f>
        <v>5448</v>
      </c>
      <c r="M35" s="18">
        <f>SUMIF($F$3:$F$34,$F35,M$3:M$34)</f>
        <v>156</v>
      </c>
      <c r="N35" s="18">
        <f>SUMIF($F$3:$F$34,$F35,N$3:N$34)</f>
        <v>1153</v>
      </c>
      <c r="O35" s="18" t="str">
        <f>IF(SUMIF($F$3:$F$34,$F35,O$3:O$34)=0,"-",SUMIF($F$3:$F$34,$F35,O$3:O$34))</f>
        <v>-</v>
      </c>
      <c r="P35" s="18" t="str">
        <f>IF(SUMIF($F$3:$F$34,$F35,P$3:P$34)=0,"-",SUMIF($F$3:$F$34,$F35,P$3:P$34))</f>
        <v>-</v>
      </c>
      <c r="Q35" s="18" t="str">
        <f>IF(SUMIF($F$3:$F$34,$F35,Q$3:Q$34)=0,"-",SUMIF($F$3:$F$34,$F35,Q$3:Q$34))</f>
        <v>-</v>
      </c>
      <c r="R35" s="18" t="str">
        <f>IF(SUMIF($F$3:$F$34,$F35,R$3:R$34)=0,"-",SUMIF($F$3:$F$34,$F35,R$3:R$34))</f>
        <v>-</v>
      </c>
      <c r="S35" s="18" t="str">
        <f>IF(SUMIF($F$3:$F$34,$F35,S$3:S$34)=0,"-",SUMIF($F$3:$F$34,$F35,S$3:S$34))</f>
        <v>-</v>
      </c>
      <c r="T35" s="18">
        <f>K35+L35+M35</f>
        <v>9596</v>
      </c>
      <c r="U35" s="4">
        <f>IF(T35=0,".---",(K35+L35)/T35)</f>
        <v>0.98374322634431011</v>
      </c>
      <c r="V35" s="20">
        <f>IF(Y35=0,"-.--",9*(K35+L35)/Y35)</f>
        <v>4.9525882170060633</v>
      </c>
      <c r="W35" s="20">
        <f>IF(G35=0,"-.--",(K35+L35)/G35)</f>
        <v>4.7461035696329814</v>
      </c>
      <c r="X35" s="21" t="str">
        <f>IF(AND(ISNUMBER(Q35),ISNUMBER(R35)),IF((Q35+R35)=0,"--.-",100*R35/(Q35+R35)),"--.-")</f>
        <v>--.-</v>
      </c>
      <c r="Y35" s="20">
        <f>SUMIF(F$3:F$34,$F35,Y$3:Y$34)</f>
        <v>17154.666666666664</v>
      </c>
    </row>
    <row r="36" spans="1:25" s="18" customFormat="1" x14ac:dyDescent="0.25">
      <c r="A36" s="18">
        <f>COUNTIF(F$3:F$34,F36)</f>
        <v>5</v>
      </c>
      <c r="C36" s="34" t="s">
        <v>78</v>
      </c>
      <c r="D36" s="34" t="s">
        <v>79</v>
      </c>
      <c r="E36" s="34" t="s">
        <v>80</v>
      </c>
      <c r="F36" s="22" t="s">
        <v>71</v>
      </c>
      <c r="G36" s="18">
        <f>SUMIF($F$3:$F$34,$F36,G$3:G$34)</f>
        <v>428</v>
      </c>
      <c r="H36" s="18">
        <f>SUMIF($F$3:$F$34,$F36,H$3:H$34)</f>
        <v>392</v>
      </c>
      <c r="I36" s="18">
        <f>SUMIF($F$3:$F$34,$F36,I$3:I$34)</f>
        <v>348</v>
      </c>
      <c r="J36" s="21">
        <f t="shared" ref="J36:J39" si="55">INT(Y36)+3*(Y36-INT(Y36))/10</f>
        <v>3493</v>
      </c>
      <c r="K36" s="18">
        <f>SUMIF($F$3:$F$34,$F36,K$3:K$34)</f>
        <v>2456</v>
      </c>
      <c r="L36" s="18">
        <f>SUMIF($F$3:$F$34,$F36,L$3:L$34)</f>
        <v>202</v>
      </c>
      <c r="M36" s="18">
        <f>SUMIF($F$3:$F$34,$F36,M$3:M$34)</f>
        <v>30</v>
      </c>
      <c r="N36" s="18">
        <f>SUMIF($F$3:$F$34,$F36,N$3:N$34)</f>
        <v>20</v>
      </c>
      <c r="O36" s="18">
        <f>IF(SUMIF($F$3:$F$34,$F36,O$3:O$34)=0,"-",SUMIF($F$3:$F$34,$F36,O$3:O$34))</f>
        <v>32</v>
      </c>
      <c r="P36" s="18">
        <f>IF(SUMIF($F$3:$F$34,$F36,P$3:P$34)=0,"-",SUMIF($F$3:$F$34,$F36,P$3:P$34))</f>
        <v>100</v>
      </c>
      <c r="Q36" s="18">
        <f>IF(SUMIF($F$3:$F$34,$F36,Q$3:Q$34)=0,"-",SUMIF($F$3:$F$34,$F36,Q$3:Q$34))</f>
        <v>434</v>
      </c>
      <c r="R36" s="18">
        <f>IF(SUMIF($F$3:$F$34,$F36,R$3:R$34)=0,"-",SUMIF($F$3:$F$34,$F36,R$3:R$34))</f>
        <v>130</v>
      </c>
      <c r="S36" s="18">
        <f>IF(SUMIF($F$3:$F$34,$F36,S$3:S$34)=0,"-",SUMIF($F$3:$F$34,$F36,S$3:S$34))</f>
        <v>2</v>
      </c>
      <c r="T36" s="18">
        <f t="shared" ref="T36:T37" si="56">K36+L36+M36</f>
        <v>2688</v>
      </c>
      <c r="U36" s="4">
        <f t="shared" ref="U36:U37" si="57">IF(T36=0,".---",(K36+L36)/T36)</f>
        <v>0.9888392857142857</v>
      </c>
      <c r="V36" s="20">
        <f t="shared" ref="V36:V37" si="58">IF(Y36=0,"-.--",9*(K36+L36)/Y36)</f>
        <v>6.8485542513598627</v>
      </c>
      <c r="W36" s="20">
        <f t="shared" ref="W36:W37" si="59">IF(G36=0,"-.--",(K36+L36)/G36)</f>
        <v>6.2102803738317753</v>
      </c>
      <c r="X36" s="21">
        <f t="shared" ref="X36:X37" si="60">IF(AND(ISNUMBER(Q36),ISNUMBER(R36)),IF((Q36+R36)=0,"--.-",100*R36/(Q36+R36)),"--.-")</f>
        <v>23.049645390070921</v>
      </c>
      <c r="Y36" s="20">
        <f t="shared" ref="Y36:Y39" si="61">SUMIF(F$3:F$34,$F36,Y$3:Y$34)</f>
        <v>3493</v>
      </c>
    </row>
    <row r="37" spans="1:25" s="18" customFormat="1" x14ac:dyDescent="0.25">
      <c r="A37" s="18">
        <f>COUNTIF(F$3:F$34,F37)</f>
        <v>5</v>
      </c>
      <c r="C37" s="34" t="s">
        <v>78</v>
      </c>
      <c r="D37" s="34" t="s">
        <v>79</v>
      </c>
      <c r="E37" s="34" t="s">
        <v>80</v>
      </c>
      <c r="F37" s="22" t="s">
        <v>72</v>
      </c>
      <c r="G37" s="18">
        <f>SUMIF($F$3:$F$34,$F37,G$3:G$34)</f>
        <v>255</v>
      </c>
      <c r="H37" s="18">
        <f>SUMIF($F$3:$F$34,$F37,H$3:H$34)</f>
        <v>254</v>
      </c>
      <c r="I37" s="18">
        <f>SUMIF($F$3:$F$34,$F37,I$3:I$34)</f>
        <v>220</v>
      </c>
      <c r="J37" s="21">
        <f t="shared" si="55"/>
        <v>2203.2000000000003</v>
      </c>
      <c r="K37" s="18">
        <f>SUMIF($F$3:$F$34,$F37,K$3:K$34)</f>
        <v>562</v>
      </c>
      <c r="L37" s="18">
        <f>SUMIF($F$3:$F$34,$F37,L$3:L$34)</f>
        <v>15</v>
      </c>
      <c r="M37" s="18">
        <f>SUMIF($F$3:$F$34,$F37,M$3:M$34)</f>
        <v>4</v>
      </c>
      <c r="N37" s="18">
        <f>SUMIF($F$3:$F$34,$F37,N$3:N$34)</f>
        <v>1</v>
      </c>
      <c r="O37" s="18" t="str">
        <f>IF(SUMIF($F$3:$F$34,$F37,O$3:O$34)=0,"-",SUMIF($F$3:$F$34,$F37,O$3:O$34))</f>
        <v>-</v>
      </c>
      <c r="P37" s="18" t="str">
        <f>IF(SUMIF($F$3:$F$34,$F37,P$3:P$34)=0,"-",SUMIF($F$3:$F$34,$F37,P$3:P$34))</f>
        <v>-</v>
      </c>
      <c r="Q37" s="18" t="str">
        <f>IF(SUMIF($F$3:$F$34,$F37,Q$3:Q$34)=0,"-",SUMIF($F$3:$F$34,$F37,Q$3:Q$34))</f>
        <v>-</v>
      </c>
      <c r="R37" s="18" t="str">
        <f>IF(SUMIF($F$3:$F$34,$F37,R$3:R$34)=0,"-",SUMIF($F$3:$F$34,$F37,R$3:R$34))</f>
        <v>-</v>
      </c>
      <c r="S37" s="18" t="str">
        <f>IF(SUMIF($F$3:$F$34,$F37,S$3:S$34)=0,"-",SUMIF($F$3:$F$34,$F37,S$3:S$34))</f>
        <v>-</v>
      </c>
      <c r="T37" s="18">
        <f t="shared" si="56"/>
        <v>581</v>
      </c>
      <c r="U37" s="4">
        <f t="shared" si="57"/>
        <v>0.99311531841652323</v>
      </c>
      <c r="V37" s="20">
        <f t="shared" si="58"/>
        <v>2.3565270004537888</v>
      </c>
      <c r="W37" s="20">
        <f t="shared" si="59"/>
        <v>2.2627450980392156</v>
      </c>
      <c r="X37" s="21" t="str">
        <f t="shared" si="60"/>
        <v>--.-</v>
      </c>
      <c r="Y37" s="20">
        <f t="shared" si="61"/>
        <v>2203.666666666667</v>
      </c>
    </row>
    <row r="38" spans="1:25" s="18" customFormat="1" x14ac:dyDescent="0.25">
      <c r="A38" s="18">
        <f>COUNTIF(F$3:F$34,F38)</f>
        <v>6</v>
      </c>
      <c r="C38" s="34" t="s">
        <v>78</v>
      </c>
      <c r="D38" s="34" t="s">
        <v>79</v>
      </c>
      <c r="E38" s="34" t="s">
        <v>80</v>
      </c>
      <c r="F38" s="22" t="s">
        <v>73</v>
      </c>
      <c r="G38" s="18">
        <f>SUMIF($F$3:$F$34,$F38,G$3:G$34)</f>
        <v>109</v>
      </c>
      <c r="H38" s="18">
        <f>SUMIF($F$3:$F$34,$F38,H$3:H$34)</f>
        <v>98</v>
      </c>
      <c r="I38" s="18">
        <f>SUMIF($F$3:$F$34,$F38,I$3:I$34)</f>
        <v>45</v>
      </c>
      <c r="J38" s="21">
        <f t="shared" si="55"/>
        <v>785</v>
      </c>
      <c r="K38" s="18">
        <f>SUMIF($F$3:$F$34,$F38,K$3:K$34)</f>
        <v>147</v>
      </c>
      <c r="L38" s="18">
        <f>SUMIF($F$3:$F$34,$F38,L$3:L$34)</f>
        <v>6</v>
      </c>
      <c r="M38" s="18">
        <f>SUMIF($F$3:$F$34,$F38,M$3:M$34)</f>
        <v>11</v>
      </c>
      <c r="N38" s="18">
        <f>SUMIF($F$3:$F$34,$F38,N$3:N$34)</f>
        <v>0</v>
      </c>
      <c r="O38" s="18" t="str">
        <f>IF(SUMIF($F$3:$F$34,$F38,O$3:O$34)=0,"-",SUMIF($F$3:$F$34,$F38,O$3:O$34))</f>
        <v>-</v>
      </c>
      <c r="P38" s="18" t="str">
        <f>IF(SUMIF($F$3:$F$34,$F38,P$3:P$34)=0,"-",SUMIF($F$3:$F$34,$F38,P$3:P$34))</f>
        <v>-</v>
      </c>
      <c r="Q38" s="18" t="str">
        <f>IF(SUMIF($F$3:$F$34,$F38,Q$3:Q$34)=0,"-",SUMIF($F$3:$F$34,$F38,Q$3:Q$34))</f>
        <v>-</v>
      </c>
      <c r="R38" s="18" t="str">
        <f>IF(SUMIF($F$3:$F$34,$F38,R$3:R$34)=0,"-",SUMIF($F$3:$F$34,$F38,R$3:R$34))</f>
        <v>-</v>
      </c>
      <c r="S38" s="18" t="str">
        <f>IF(SUMIF($F$3:$F$34,$F38,S$3:S$34)=0,"-",SUMIF($F$3:$F$34,$F38,S$3:S$34))</f>
        <v>-</v>
      </c>
      <c r="T38" s="18">
        <f t="shared" ref="T38" si="62">K38+L38+M38</f>
        <v>164</v>
      </c>
      <c r="U38" s="4">
        <f t="shared" ref="U38" si="63">IF(T38=0,".---",(K38+L38)/T38)</f>
        <v>0.93292682926829273</v>
      </c>
      <c r="V38" s="20">
        <f t="shared" ref="V38" si="64">IF(Y38=0,"-.--",9*(K38+L38)/Y38)</f>
        <v>1.7541401273885351</v>
      </c>
      <c r="W38" s="20">
        <f t="shared" ref="W38" si="65">IF(G38=0,"-.--",(K38+L38)/G38)</f>
        <v>1.4036697247706422</v>
      </c>
      <c r="X38" s="21" t="str">
        <f t="shared" ref="X38" si="66">IF(AND(ISNUMBER(Q38),ISNUMBER(R38)),IF((Q38+R38)=0,"--.-",100*R38/(Q38+R38)),"--.-")</f>
        <v>--.-</v>
      </c>
      <c r="Y38" s="20">
        <f t="shared" si="61"/>
        <v>785</v>
      </c>
    </row>
    <row r="39" spans="1:25" s="18" customFormat="1" x14ac:dyDescent="0.25">
      <c r="A39" s="18">
        <f>COUNTIF(F$3:F$34,F39)</f>
        <v>1</v>
      </c>
      <c r="C39" s="34" t="s">
        <v>78</v>
      </c>
      <c r="D39" s="34" t="s">
        <v>79</v>
      </c>
      <c r="E39" s="34" t="s">
        <v>80</v>
      </c>
      <c r="F39" s="22" t="s">
        <v>74</v>
      </c>
      <c r="G39" s="18">
        <f>SUMIF($F$3:$F$34,$F39,G$3:G$34)</f>
        <v>2</v>
      </c>
      <c r="H39" s="18">
        <f>SUMIF($F$3:$F$34,$F39,H$3:H$34)</f>
        <v>0</v>
      </c>
      <c r="I39" s="18">
        <f>SUMIF($F$3:$F$34,$F39,I$3:I$34)</f>
        <v>0</v>
      </c>
      <c r="J39" s="21">
        <f t="shared" si="55"/>
        <v>1.1000000000000001</v>
      </c>
      <c r="K39" s="18">
        <f>SUMIF($F$3:$F$34,$F39,K$3:K$34)</f>
        <v>1</v>
      </c>
      <c r="L39" s="18">
        <f>SUMIF($F$3:$F$34,$F39,L$3:L$34)</f>
        <v>0</v>
      </c>
      <c r="M39" s="18">
        <f>SUMIF($F$3:$F$34,$F39,M$3:M$34)</f>
        <v>0</v>
      </c>
      <c r="N39" s="18">
        <f>SUMIF($F$3:$F$34,$F39,N$3:N$34)</f>
        <v>0</v>
      </c>
      <c r="O39" s="18" t="str">
        <f>IF(SUMIF($F$3:$F$34,$F39,O$3:O$34)=0,"-",SUMIF($F$3:$F$34,$F39,O$3:O$34))</f>
        <v>-</v>
      </c>
      <c r="P39" s="18" t="str">
        <f>IF(SUMIF($F$3:$F$34,$F39,P$3:P$34)=0,"-",SUMIF($F$3:$F$34,$F39,P$3:P$34))</f>
        <v>-</v>
      </c>
      <c r="Q39" s="18" t="str">
        <f>IF(SUMIF($F$3:$F$34,$F39,Q$3:Q$34)=0,"-",SUMIF($F$3:$F$34,$F39,Q$3:Q$34))</f>
        <v>-</v>
      </c>
      <c r="R39" s="18" t="str">
        <f>IF(SUMIF($F$3:$F$34,$F39,R$3:R$34)=0,"-",SUMIF($F$3:$F$34,$F39,R$3:R$34))</f>
        <v>-</v>
      </c>
      <c r="S39" s="18" t="str">
        <f>IF(SUMIF($F$3:$F$34,$F39,S$3:S$34)=0,"-",SUMIF($F$3:$F$34,$F39,S$3:S$34))</f>
        <v>-</v>
      </c>
      <c r="T39" s="18">
        <f t="shared" ref="T39" si="67">K39+L39+M39</f>
        <v>1</v>
      </c>
      <c r="U39" s="4">
        <f t="shared" ref="U39" si="68">IF(T39=0,".---",(K39+L39)/T39)</f>
        <v>1</v>
      </c>
      <c r="V39" s="20">
        <f t="shared" ref="V39" si="69">IF(Y39=0,"-.--",9*(K39+L39)/Y39)</f>
        <v>6.7499999999999982</v>
      </c>
      <c r="W39" s="20">
        <f t="shared" ref="W39" si="70">IF(G39=0,"-.--",(K39+L39)/G39)</f>
        <v>0.5</v>
      </c>
      <c r="X39" s="21" t="str">
        <f t="shared" ref="X39" si="71">IF(AND(ISNUMBER(Q39),ISNUMBER(R39)),IF((Q39+R39)=0,"--.-",100*R39/(Q39+R39)),"--.-")</f>
        <v>--.-</v>
      </c>
      <c r="Y39" s="20">
        <f t="shared" si="61"/>
        <v>1.3333333333333337</v>
      </c>
    </row>
    <row r="40" spans="1:25" s="18" customFormat="1" x14ac:dyDescent="0.25">
      <c r="A40" s="18">
        <f>SUM(IF(FREQUENCY($A$3:$A$34,$A$3:$A$34)&gt;0,1))</f>
        <v>20</v>
      </c>
      <c r="C40" s="34" t="s">
        <v>78</v>
      </c>
      <c r="D40" s="34" t="s">
        <v>79</v>
      </c>
      <c r="E40" s="34" t="s">
        <v>80</v>
      </c>
      <c r="F40" s="24" t="s">
        <v>62</v>
      </c>
      <c r="G40" s="18">
        <f>SUM(G$3:G$34)</f>
        <v>2783</v>
      </c>
      <c r="H40" s="18">
        <f>SUM(H$3:H$34)</f>
        <v>2703</v>
      </c>
      <c r="I40" s="18">
        <f>SUM(I$3:I$34)</f>
        <v>2304</v>
      </c>
      <c r="J40" s="21">
        <f>INT(Y40)+3*(Y40-INT(Y40))/10</f>
        <v>23637.200000000001</v>
      </c>
      <c r="K40" s="18">
        <f>SUM(K$3:K$34)</f>
        <v>7158</v>
      </c>
      <c r="L40" s="18">
        <f>SUM(L$3:L$34)</f>
        <v>5671</v>
      </c>
      <c r="M40" s="18">
        <f>SUM(M$3:M$34)</f>
        <v>201</v>
      </c>
      <c r="N40" s="18">
        <f>SUM(N$3:N$34)</f>
        <v>1174</v>
      </c>
      <c r="O40" s="18">
        <f>SUM(O$3:O$34)</f>
        <v>32</v>
      </c>
      <c r="P40" s="18">
        <f>IF(SUM(P$3:P$34)=0,"-",SUM(P$3:P$34))</f>
        <v>100</v>
      </c>
      <c r="Q40" s="18">
        <f>IF(SUM(Q$3:Q$34)=0,"-",SUM(Q$3:Q$34))</f>
        <v>434</v>
      </c>
      <c r="R40" s="18">
        <f>IF(SUM(R$3:R$34)=0,"-",SUM(R$3:R$34))</f>
        <v>130</v>
      </c>
      <c r="S40" s="18">
        <f>IF(SUM(S$3:S$34)=0,"-",SUM(S$3:S$34))</f>
        <v>2</v>
      </c>
      <c r="T40" s="18">
        <f t="shared" si="0"/>
        <v>13030</v>
      </c>
      <c r="U40" s="4">
        <f t="shared" si="1"/>
        <v>0.9845740598618572</v>
      </c>
      <c r="V40" s="20">
        <f t="shared" si="2"/>
        <v>4.8846191812502653</v>
      </c>
      <c r="W40" s="20">
        <f t="shared" si="3"/>
        <v>4.6097736255839026</v>
      </c>
      <c r="X40" s="21">
        <f t="shared" si="6"/>
        <v>23.049645390070921</v>
      </c>
      <c r="Y40" s="20">
        <f>SUM(Y$3:Y$34)</f>
        <v>23637.666666666664</v>
      </c>
    </row>
    <row r="41" spans="1:25" s="18" customFormat="1" x14ac:dyDescent="0.25">
      <c r="C41" s="34"/>
      <c r="D41" s="34"/>
      <c r="E41" s="34"/>
      <c r="F41" s="24" t="s">
        <v>50</v>
      </c>
      <c r="G41" s="18" t="s">
        <v>1</v>
      </c>
      <c r="H41" s="18" t="s">
        <v>27</v>
      </c>
      <c r="I41" s="18" t="s">
        <v>29</v>
      </c>
      <c r="J41" s="21" t="s">
        <v>51</v>
      </c>
      <c r="K41" s="18" t="s">
        <v>52</v>
      </c>
      <c r="L41" s="18" t="s">
        <v>53</v>
      </c>
      <c r="M41" s="18" t="s">
        <v>54</v>
      </c>
      <c r="N41" s="18" t="s">
        <v>16</v>
      </c>
      <c r="O41" s="18" t="s">
        <v>63</v>
      </c>
      <c r="P41" s="18" t="s">
        <v>35</v>
      </c>
      <c r="Q41" s="18" t="s">
        <v>17</v>
      </c>
      <c r="R41" s="18" t="s">
        <v>18</v>
      </c>
      <c r="S41" s="18" t="s">
        <v>58</v>
      </c>
      <c r="T41" s="18" t="s">
        <v>55</v>
      </c>
      <c r="U41" s="4" t="s">
        <v>60</v>
      </c>
      <c r="V41" s="20" t="s">
        <v>56</v>
      </c>
      <c r="W41" s="20" t="s">
        <v>57</v>
      </c>
      <c r="X41" s="21" t="s">
        <v>59</v>
      </c>
      <c r="Y41" s="20" t="s">
        <v>61</v>
      </c>
    </row>
  </sheetData>
  <pageMargins left="0.7" right="0.7" top="0.75" bottom="0.75" header="0.3" footer="0.3"/>
  <ignoredErrors>
    <ignoredError sqref="J35:J39 J4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Batting</vt:lpstr>
      <vt:lpstr>Pitching</vt:lpstr>
      <vt:lpstr>Batting Against</vt:lpstr>
      <vt:lpstr>Fielding</vt:lpstr>
      <vt:lpstr>DOB</vt:lpstr>
      <vt:lpstr>GAMES</vt:lpstr>
      <vt:lpstr>years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Darrell</dc:creator>
  <cp:lastModifiedBy>Darrell</cp:lastModifiedBy>
  <dcterms:created xsi:type="dcterms:W3CDTF">2013-07-19T01:19:05Z</dcterms:created>
  <dcterms:modified xsi:type="dcterms:W3CDTF">2013-07-22T03:41:44Z</dcterms:modified>
</cp:coreProperties>
</file>